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730" windowHeight="8790" tabRatio="904" activeTab="8"/>
  </bookViews>
  <sheets>
    <sheet name="Settings" sheetId="161" r:id="rId1"/>
    <sheet name="Translation" sheetId="162" state="veryHidden" r:id="rId2"/>
    <sheet name="Data" sheetId="140" state="veryHidden" r:id="rId3"/>
    <sheet name="Start List" sheetId="101" r:id="rId4"/>
    <sheet name="By Category" sheetId="100" r:id="rId5"/>
    <sheet name="Men-Women" sheetId="173" r:id="rId6"/>
    <sheet name="Absolute" sheetId="168" r:id="rId7"/>
    <sheet name="Teams" sheetId="171" r:id="rId8"/>
    <sheet name="Men" sheetId="130" r:id="rId9"/>
    <sheet name="Women" sheetId="163" r:id="rId10"/>
    <sheet name="Juniors" sheetId="164" r:id="rId11"/>
    <sheet name="Cadets" sheetId="165" r:id="rId12"/>
    <sheet name="Senior Men" sheetId="166" r:id="rId13"/>
    <sheet name="Senior Women" sheetId="167" r:id="rId14"/>
    <sheet name="Match Play Standings" sheetId="172" r:id="rId15"/>
  </sheets>
  <definedNames>
    <definedName name="_xlnm.Print_Area" localSheetId="6">Absolute!$A$1:$AB$48</definedName>
    <definedName name="_xlnm.Print_Area" localSheetId="4">'By Category'!$C$1:$AB$63</definedName>
    <definedName name="_xlnm.Print_Area" localSheetId="11">Cadets!$A$1:$BK$84</definedName>
    <definedName name="_xlnm.Print_Area" localSheetId="10">Juniors!$A$1:$BK$84</definedName>
    <definedName name="_xlnm.Print_Area" localSheetId="14">'Match Play Standings'!$C$1:$T$63</definedName>
    <definedName name="_xlnm.Print_Area" localSheetId="8">Men!$A$1:$BK$84</definedName>
    <definedName name="_xlnm.Print_Area" localSheetId="5">'Men-Women'!$C$1:$AB$63</definedName>
    <definedName name="_xlnm.Print_Area" localSheetId="12">'Senior Men'!$A$1:$BK$84</definedName>
    <definedName name="_xlnm.Print_Area" localSheetId="13">'Senior Women'!$A$1:$BK$84</definedName>
    <definedName name="_xlnm.Print_Area" localSheetId="3">'Start List'!$A$1:$Y$63</definedName>
    <definedName name="_xlnm.Print_Area" localSheetId="7">Teams!$A$1:$I$44</definedName>
    <definedName name="_xlnm.Print_Area" localSheetId="9">Women!$A$1:$BK$84</definedName>
  </definedNames>
  <calcPr calcId="145621"/>
</workbook>
</file>

<file path=xl/calcChain.xml><?xml version="1.0" encoding="utf-8"?>
<calcChain xmlns="http://schemas.openxmlformats.org/spreadsheetml/2006/main">
  <c r="N15" i="101" l="1"/>
  <c r="R15" i="101"/>
  <c r="G99" i="140"/>
  <c r="H99" i="140"/>
  <c r="G100" i="140"/>
  <c r="H100" i="140"/>
  <c r="G101" i="140"/>
  <c r="H101" i="140"/>
  <c r="G102" i="140"/>
  <c r="H102" i="140"/>
  <c r="G103" i="140"/>
  <c r="H103" i="140"/>
  <c r="G104" i="140"/>
  <c r="H104" i="140"/>
  <c r="G105" i="140"/>
  <c r="H105" i="140"/>
  <c r="G106" i="140"/>
  <c r="H106" i="140"/>
  <c r="G107" i="140"/>
  <c r="H107" i="140"/>
  <c r="G108" i="140"/>
  <c r="H108" i="140"/>
  <c r="G109" i="140"/>
  <c r="H109" i="140"/>
  <c r="G110" i="140"/>
  <c r="H110" i="140"/>
  <c r="G111" i="140"/>
  <c r="H111" i="140"/>
  <c r="G112" i="140"/>
  <c r="H112" i="140"/>
  <c r="G113" i="140"/>
  <c r="H113" i="140"/>
  <c r="G98" i="140"/>
  <c r="H98" i="140"/>
  <c r="B15" i="171" l="1"/>
  <c r="D15" i="171"/>
  <c r="B16" i="171"/>
  <c r="D16" i="171"/>
  <c r="B17" i="171"/>
  <c r="D17" i="171"/>
  <c r="B18" i="171"/>
  <c r="B20" i="171"/>
  <c r="D20" i="171"/>
  <c r="B21" i="171"/>
  <c r="D21" i="171"/>
  <c r="B22" i="171"/>
  <c r="D22" i="171"/>
  <c r="B23" i="171"/>
  <c r="B30" i="171"/>
  <c r="D30" i="171"/>
  <c r="B31" i="171"/>
  <c r="D31" i="171"/>
  <c r="B32" i="171"/>
  <c r="D32" i="171"/>
  <c r="B33" i="171"/>
  <c r="B35" i="171"/>
  <c r="D35" i="171"/>
  <c r="B36" i="171"/>
  <c r="D36" i="171"/>
  <c r="B37" i="171"/>
  <c r="D37" i="171"/>
  <c r="B38" i="171"/>
  <c r="B25" i="171"/>
  <c r="D25" i="171"/>
  <c r="B26" i="171"/>
  <c r="D26" i="171"/>
  <c r="B27" i="171"/>
  <c r="D27" i="171"/>
  <c r="B28" i="171"/>
  <c r="B40" i="171"/>
  <c r="D40" i="171"/>
  <c r="B41" i="171"/>
  <c r="D41" i="171"/>
  <c r="B42" i="171"/>
  <c r="D42" i="171"/>
  <c r="B43" i="171"/>
  <c r="P9" i="101" l="1"/>
  <c r="AW7" i="140" l="1"/>
  <c r="AW8" i="140"/>
  <c r="AW6" i="140"/>
  <c r="E9" i="173"/>
  <c r="L6" i="173"/>
  <c r="A3" i="173"/>
  <c r="A2" i="173"/>
  <c r="A1" i="173"/>
  <c r="J47" i="101"/>
  <c r="J48" i="101"/>
  <c r="J49" i="101"/>
  <c r="J50" i="101"/>
  <c r="J51" i="101"/>
  <c r="J52" i="101"/>
  <c r="J53" i="101"/>
  <c r="J54" i="101"/>
  <c r="J55" i="101"/>
  <c r="J56" i="101"/>
  <c r="J57" i="101"/>
  <c r="J58" i="101"/>
  <c r="J59" i="101"/>
  <c r="J60" i="101"/>
  <c r="J61" i="101"/>
  <c r="J62" i="101"/>
  <c r="J63" i="101"/>
  <c r="J64" i="101"/>
  <c r="J65" i="101"/>
  <c r="J66" i="101"/>
  <c r="J67" i="101"/>
  <c r="J68" i="101"/>
  <c r="J69" i="101"/>
  <c r="J70" i="101"/>
  <c r="J71" i="101"/>
  <c r="J72" i="101"/>
  <c r="J73" i="101"/>
  <c r="J74" i="101"/>
  <c r="J75" i="101"/>
  <c r="J76" i="101"/>
  <c r="J77" i="101"/>
  <c r="J78" i="101"/>
  <c r="J79" i="101"/>
  <c r="J80" i="101"/>
  <c r="J81" i="101"/>
  <c r="J82" i="101"/>
  <c r="J83" i="101"/>
  <c r="J84" i="101"/>
  <c r="J85" i="101"/>
  <c r="J86" i="101"/>
  <c r="J87" i="101"/>
  <c r="J88" i="101"/>
  <c r="J89" i="101"/>
  <c r="J90" i="101"/>
  <c r="J91" i="101"/>
  <c r="J92" i="101"/>
  <c r="J93" i="101"/>
  <c r="J94" i="101"/>
  <c r="J95" i="101"/>
  <c r="J96" i="101"/>
  <c r="J97" i="101"/>
  <c r="J98" i="101"/>
  <c r="J99" i="101"/>
  <c r="J100" i="101"/>
  <c r="J101" i="101"/>
  <c r="J102" i="101"/>
  <c r="J103" i="101"/>
  <c r="J104" i="101"/>
  <c r="J105" i="101"/>
  <c r="J106" i="101"/>
  <c r="J107" i="101"/>
  <c r="J108" i="101"/>
  <c r="J109" i="101"/>
  <c r="J110" i="101"/>
  <c r="J111" i="101"/>
  <c r="J112" i="101"/>
  <c r="J113" i="101"/>
  <c r="J114" i="101"/>
  <c r="J115" i="101"/>
  <c r="J116" i="101"/>
  <c r="J117" i="101"/>
  <c r="J118" i="101"/>
  <c r="J119" i="101"/>
  <c r="J120" i="101"/>
  <c r="AX6" i="140" l="1"/>
  <c r="BB6" i="140"/>
  <c r="AX7" i="140"/>
  <c r="BB7" i="140"/>
  <c r="AX8" i="140"/>
  <c r="BB8" i="140"/>
  <c r="AW4" i="140"/>
  <c r="B12" i="161" s="1"/>
  <c r="D6" i="173" l="1"/>
  <c r="H15" i="101"/>
  <c r="Y13" i="140"/>
  <c r="Y12" i="140"/>
  <c r="Y5" i="140"/>
  <c r="X5" i="140"/>
  <c r="Y4" i="140"/>
  <c r="X4" i="140"/>
  <c r="U17" i="140"/>
  <c r="T17" i="140"/>
  <c r="S17" i="140"/>
  <c r="R17" i="140"/>
  <c r="Q17" i="140"/>
  <c r="Q15" i="140"/>
  <c r="P15" i="140"/>
  <c r="O15" i="140"/>
  <c r="N15" i="140"/>
  <c r="U15" i="140"/>
  <c r="T15" i="140"/>
  <c r="S15" i="140"/>
  <c r="R15" i="140"/>
  <c r="R13" i="140"/>
  <c r="S13" i="140"/>
  <c r="T13" i="140"/>
  <c r="U12" i="140"/>
  <c r="U13" i="140"/>
  <c r="U11" i="140"/>
  <c r="T11" i="140"/>
  <c r="S11" i="140"/>
  <c r="R11" i="140"/>
  <c r="Q11" i="140"/>
  <c r="P11" i="140"/>
  <c r="O11" i="140"/>
  <c r="N11" i="140"/>
  <c r="M11" i="140"/>
  <c r="U9" i="140"/>
  <c r="T9" i="140"/>
  <c r="S9" i="140"/>
  <c r="R9" i="140"/>
  <c r="Q9" i="140"/>
  <c r="P9" i="140"/>
  <c r="U7" i="140"/>
  <c r="T7" i="140"/>
  <c r="S7" i="140"/>
  <c r="R7" i="140"/>
  <c r="Q7" i="140"/>
  <c r="P7" i="140"/>
  <c r="O7" i="140"/>
  <c r="S5" i="140"/>
  <c r="U4" i="140"/>
  <c r="U5" i="140"/>
  <c r="T4" i="140"/>
  <c r="T5" i="140"/>
  <c r="M3" i="140"/>
  <c r="N3" i="140"/>
  <c r="O3" i="140"/>
  <c r="P3" i="140"/>
  <c r="Q3" i="140"/>
  <c r="R3" i="140"/>
  <c r="S3" i="140"/>
  <c r="T3" i="140"/>
  <c r="U3" i="140"/>
  <c r="L3" i="140"/>
  <c r="O7" i="172" l="1"/>
  <c r="N7" i="172"/>
  <c r="M7" i="172"/>
  <c r="L47" i="101"/>
  <c r="M47" i="101"/>
  <c r="L48" i="101"/>
  <c r="M48" i="101"/>
  <c r="L49" i="101"/>
  <c r="M49" i="101"/>
  <c r="L50" i="101"/>
  <c r="M50" i="101"/>
  <c r="L51" i="101"/>
  <c r="M51" i="101"/>
  <c r="L52" i="101"/>
  <c r="M52" i="101"/>
  <c r="L53" i="101"/>
  <c r="M53" i="101"/>
  <c r="L54" i="101"/>
  <c r="M54" i="101"/>
  <c r="L55" i="101"/>
  <c r="M55" i="101"/>
  <c r="L56" i="101"/>
  <c r="M56" i="101"/>
  <c r="L57" i="101"/>
  <c r="M57" i="101"/>
  <c r="L58" i="101"/>
  <c r="M58" i="101"/>
  <c r="L59" i="101"/>
  <c r="M59" i="101"/>
  <c r="L60" i="101"/>
  <c r="M60" i="101"/>
  <c r="L61" i="101"/>
  <c r="M61" i="101"/>
  <c r="L62" i="101"/>
  <c r="M62" i="101"/>
  <c r="L63" i="101"/>
  <c r="M63" i="101"/>
  <c r="L64" i="101"/>
  <c r="M64" i="101"/>
  <c r="L65" i="101"/>
  <c r="M65" i="101"/>
  <c r="L66" i="101"/>
  <c r="M66" i="101"/>
  <c r="L67" i="101"/>
  <c r="M67" i="101"/>
  <c r="L68" i="101"/>
  <c r="M68" i="101"/>
  <c r="L69" i="101"/>
  <c r="M69" i="101"/>
  <c r="L70" i="101"/>
  <c r="M70" i="101"/>
  <c r="L71" i="101"/>
  <c r="M71" i="101"/>
  <c r="L72" i="101"/>
  <c r="M72" i="101"/>
  <c r="L73" i="101"/>
  <c r="M73" i="101"/>
  <c r="L74" i="101"/>
  <c r="M74" i="101"/>
  <c r="L75" i="101"/>
  <c r="M75" i="101"/>
  <c r="L76" i="101"/>
  <c r="M76" i="101"/>
  <c r="L77" i="101"/>
  <c r="M77" i="101"/>
  <c r="L78" i="101"/>
  <c r="M78" i="101"/>
  <c r="L79" i="101"/>
  <c r="M79" i="101"/>
  <c r="L80" i="101"/>
  <c r="M80" i="101"/>
  <c r="L81" i="101"/>
  <c r="M81" i="101"/>
  <c r="L82" i="101"/>
  <c r="M82" i="101"/>
  <c r="L83" i="101"/>
  <c r="M83" i="101"/>
  <c r="L84" i="101"/>
  <c r="M84" i="101"/>
  <c r="L85" i="101"/>
  <c r="M85" i="101"/>
  <c r="L86" i="101"/>
  <c r="M86" i="101"/>
  <c r="L87" i="101"/>
  <c r="M87" i="101"/>
  <c r="L88" i="101"/>
  <c r="M88" i="101"/>
  <c r="L89" i="101"/>
  <c r="M89" i="101"/>
  <c r="L90" i="101"/>
  <c r="M90" i="101"/>
  <c r="L91" i="101"/>
  <c r="M91" i="101"/>
  <c r="L92" i="101"/>
  <c r="M92" i="101"/>
  <c r="L93" i="101"/>
  <c r="M93" i="101"/>
  <c r="L94" i="101"/>
  <c r="M94" i="101"/>
  <c r="L95" i="101"/>
  <c r="M95" i="101"/>
  <c r="L96" i="101"/>
  <c r="M96" i="101"/>
  <c r="L97" i="101"/>
  <c r="M97" i="101"/>
  <c r="L98" i="101"/>
  <c r="M98" i="101"/>
  <c r="L99" i="101"/>
  <c r="M99" i="101"/>
  <c r="L100" i="101"/>
  <c r="M100" i="101"/>
  <c r="L101" i="101"/>
  <c r="M101" i="101"/>
  <c r="L102" i="101"/>
  <c r="M102" i="101"/>
  <c r="L103" i="101"/>
  <c r="M103" i="101"/>
  <c r="L104" i="101"/>
  <c r="M104" i="101"/>
  <c r="L105" i="101"/>
  <c r="M105" i="101"/>
  <c r="L106" i="101"/>
  <c r="M106" i="101"/>
  <c r="L107" i="101"/>
  <c r="M107" i="101"/>
  <c r="L108" i="101"/>
  <c r="M108" i="101"/>
  <c r="L109" i="101"/>
  <c r="M109" i="101"/>
  <c r="L110" i="101"/>
  <c r="M110" i="101"/>
  <c r="L111" i="101"/>
  <c r="M111" i="101"/>
  <c r="L112" i="101"/>
  <c r="M112" i="101"/>
  <c r="L113" i="101"/>
  <c r="M113" i="101"/>
  <c r="L114" i="101"/>
  <c r="M114" i="101"/>
  <c r="L115" i="101"/>
  <c r="M115" i="101"/>
  <c r="L116" i="101"/>
  <c r="M116" i="101"/>
  <c r="L117" i="101"/>
  <c r="M117" i="101"/>
  <c r="L118" i="101"/>
  <c r="M118" i="101"/>
  <c r="L119" i="101"/>
  <c r="M119" i="101"/>
  <c r="L120" i="101"/>
  <c r="M120" i="101"/>
  <c r="BS88" i="167"/>
  <c r="BR88" i="167"/>
  <c r="BQ88" i="167"/>
  <c r="BS87" i="167"/>
  <c r="BR87" i="167"/>
  <c r="BQ87" i="167"/>
  <c r="BS86" i="167"/>
  <c r="BR86" i="167"/>
  <c r="BQ86" i="167"/>
  <c r="BS85" i="167"/>
  <c r="BR85" i="167"/>
  <c r="BQ85" i="167"/>
  <c r="BS84" i="167"/>
  <c r="BR84" i="167"/>
  <c r="BQ84" i="167"/>
  <c r="BS83" i="167"/>
  <c r="BR83" i="167"/>
  <c r="BQ83" i="167"/>
  <c r="BS82" i="167"/>
  <c r="BR82" i="167"/>
  <c r="BQ82" i="167"/>
  <c r="BS81" i="167"/>
  <c r="BR81" i="167"/>
  <c r="BQ81" i="167"/>
  <c r="BS80" i="167"/>
  <c r="BR80" i="167"/>
  <c r="BS79" i="167"/>
  <c r="BR79" i="167"/>
  <c r="BS78" i="167"/>
  <c r="BR78" i="167"/>
  <c r="BS77" i="167"/>
  <c r="BR77" i="167"/>
  <c r="BS88" i="166"/>
  <c r="BR88" i="166"/>
  <c r="BQ88" i="166"/>
  <c r="BS87" i="166"/>
  <c r="BR87" i="166"/>
  <c r="BQ87" i="166"/>
  <c r="BS86" i="166"/>
  <c r="BR86" i="166"/>
  <c r="BQ86" i="166"/>
  <c r="BS85" i="166"/>
  <c r="BR85" i="166"/>
  <c r="BQ85" i="166"/>
  <c r="BS84" i="166"/>
  <c r="BR84" i="166"/>
  <c r="BQ84" i="166"/>
  <c r="BS83" i="166"/>
  <c r="BR83" i="166"/>
  <c r="BQ83" i="166"/>
  <c r="BS82" i="166"/>
  <c r="BR82" i="166"/>
  <c r="BQ82" i="166"/>
  <c r="BS81" i="166"/>
  <c r="BR81" i="166"/>
  <c r="BQ81" i="166"/>
  <c r="BS80" i="166"/>
  <c r="BR80" i="166"/>
  <c r="BS79" i="166"/>
  <c r="BR79" i="166"/>
  <c r="BS78" i="166"/>
  <c r="BR78" i="166"/>
  <c r="BS77" i="166"/>
  <c r="BR77" i="166"/>
  <c r="BS88" i="165"/>
  <c r="BR88" i="165"/>
  <c r="BQ88" i="165"/>
  <c r="BS87" i="165"/>
  <c r="BR87" i="165"/>
  <c r="BQ87" i="165"/>
  <c r="BS86" i="165"/>
  <c r="BR86" i="165"/>
  <c r="BQ86" i="165"/>
  <c r="BS85" i="165"/>
  <c r="BR85" i="165"/>
  <c r="BQ85" i="165"/>
  <c r="BS84" i="165"/>
  <c r="BR84" i="165"/>
  <c r="BQ84" i="165"/>
  <c r="BS83" i="165"/>
  <c r="BR83" i="165"/>
  <c r="BQ83" i="165"/>
  <c r="BS82" i="165"/>
  <c r="BR82" i="165"/>
  <c r="BQ82" i="165"/>
  <c r="BS81" i="165"/>
  <c r="BR81" i="165"/>
  <c r="BQ81" i="165"/>
  <c r="BS80" i="165"/>
  <c r="BR80" i="165"/>
  <c r="BS79" i="165"/>
  <c r="BR79" i="165"/>
  <c r="BS78" i="165"/>
  <c r="BR78" i="165"/>
  <c r="BS77" i="165"/>
  <c r="BR77" i="165"/>
  <c r="BS88" i="164"/>
  <c r="BR88" i="164"/>
  <c r="BQ88" i="164"/>
  <c r="BS87" i="164"/>
  <c r="BR87" i="164"/>
  <c r="BQ87" i="164"/>
  <c r="BS86" i="164"/>
  <c r="BR86" i="164"/>
  <c r="BQ86" i="164"/>
  <c r="BS85" i="164"/>
  <c r="BR85" i="164"/>
  <c r="BQ85" i="164"/>
  <c r="BS84" i="164"/>
  <c r="BR84" i="164"/>
  <c r="BQ84" i="164"/>
  <c r="BS83" i="164"/>
  <c r="BR83" i="164"/>
  <c r="BQ83" i="164"/>
  <c r="BS82" i="164"/>
  <c r="BR82" i="164"/>
  <c r="BQ82" i="164"/>
  <c r="BS81" i="164"/>
  <c r="BR81" i="164"/>
  <c r="BQ81" i="164"/>
  <c r="BS80" i="164"/>
  <c r="BR80" i="164"/>
  <c r="BS79" i="164"/>
  <c r="BR79" i="164"/>
  <c r="BS78" i="164"/>
  <c r="BR78" i="164"/>
  <c r="BS77" i="164"/>
  <c r="BR77" i="164"/>
  <c r="BS88" i="163"/>
  <c r="BR88" i="163"/>
  <c r="BQ88" i="163"/>
  <c r="BS87" i="163"/>
  <c r="BR87" i="163"/>
  <c r="BQ87" i="163"/>
  <c r="BS86" i="163"/>
  <c r="BR86" i="163"/>
  <c r="BQ86" i="163"/>
  <c r="BS85" i="163"/>
  <c r="BR85" i="163"/>
  <c r="BQ85" i="163"/>
  <c r="BS84" i="163"/>
  <c r="BR84" i="163"/>
  <c r="BQ84" i="163"/>
  <c r="BS83" i="163"/>
  <c r="BR83" i="163"/>
  <c r="BQ83" i="163"/>
  <c r="BS82" i="163"/>
  <c r="BR82" i="163"/>
  <c r="BQ82" i="163"/>
  <c r="BS81" i="163"/>
  <c r="BR81" i="163"/>
  <c r="BQ81" i="163"/>
  <c r="BS80" i="163"/>
  <c r="BR80" i="163"/>
  <c r="BS79" i="163"/>
  <c r="BR79" i="163"/>
  <c r="BS78" i="163"/>
  <c r="BR78" i="163"/>
  <c r="BS77" i="163"/>
  <c r="BR77" i="163"/>
  <c r="H28" i="101"/>
  <c r="H29" i="101"/>
  <c r="H30" i="101"/>
  <c r="H31" i="101"/>
  <c r="H32" i="101"/>
  <c r="H33" i="101"/>
  <c r="H34" i="101"/>
  <c r="H35" i="101"/>
  <c r="H36" i="101"/>
  <c r="H37" i="101"/>
  <c r="H38" i="101"/>
  <c r="H39" i="101"/>
  <c r="H40" i="101"/>
  <c r="H41" i="101"/>
  <c r="H42" i="101"/>
  <c r="H43" i="101"/>
  <c r="H44" i="101"/>
  <c r="H45" i="101"/>
  <c r="H46" i="101"/>
  <c r="H47" i="101"/>
  <c r="H48" i="101"/>
  <c r="H49" i="101"/>
  <c r="H50" i="101"/>
  <c r="H51" i="101"/>
  <c r="H52" i="101"/>
  <c r="H53" i="101"/>
  <c r="H54" i="101"/>
  <c r="H55" i="101"/>
  <c r="H56" i="101"/>
  <c r="H57" i="101"/>
  <c r="H58" i="101"/>
  <c r="H59" i="101"/>
  <c r="H60" i="101"/>
  <c r="H61" i="101"/>
  <c r="H62" i="101"/>
  <c r="H63" i="101"/>
  <c r="H64" i="101"/>
  <c r="H65" i="101"/>
  <c r="H66" i="101"/>
  <c r="H67" i="101"/>
  <c r="H68" i="101"/>
  <c r="H69" i="101"/>
  <c r="H70" i="101"/>
  <c r="H71" i="101"/>
  <c r="H72" i="101"/>
  <c r="H73" i="101"/>
  <c r="H74" i="101"/>
  <c r="H75" i="101"/>
  <c r="H76" i="101"/>
  <c r="H77" i="101"/>
  <c r="H78" i="101"/>
  <c r="H79" i="101"/>
  <c r="H80" i="101"/>
  <c r="H81" i="101"/>
  <c r="H82" i="101"/>
  <c r="H83" i="101"/>
  <c r="H84" i="101"/>
  <c r="H85" i="101"/>
  <c r="H86" i="101"/>
  <c r="H87" i="101"/>
  <c r="H88" i="101"/>
  <c r="H89" i="101"/>
  <c r="H90" i="101"/>
  <c r="H91" i="101"/>
  <c r="H92" i="101"/>
  <c r="H93" i="101"/>
  <c r="H94" i="101"/>
  <c r="H95" i="101"/>
  <c r="H96" i="101"/>
  <c r="H97" i="101"/>
  <c r="H98" i="101"/>
  <c r="H99" i="101"/>
  <c r="H100" i="101"/>
  <c r="H101" i="101"/>
  <c r="H102" i="101"/>
  <c r="H103" i="101"/>
  <c r="H104" i="101"/>
  <c r="H105" i="101"/>
  <c r="H106" i="101"/>
  <c r="H107" i="101"/>
  <c r="H108" i="101"/>
  <c r="H109" i="101"/>
  <c r="H110" i="101"/>
  <c r="H111" i="101"/>
  <c r="H112" i="101"/>
  <c r="H113" i="101"/>
  <c r="H114" i="101"/>
  <c r="H115" i="101"/>
  <c r="H116" i="101"/>
  <c r="H117" i="101"/>
  <c r="H118" i="101"/>
  <c r="H119" i="101"/>
  <c r="H120" i="101"/>
  <c r="H17" i="101"/>
  <c r="H18" i="101"/>
  <c r="D12" i="171" s="1"/>
  <c r="H19" i="101"/>
  <c r="H20" i="101"/>
  <c r="H21" i="101"/>
  <c r="D10" i="171" s="1"/>
  <c r="H22" i="101"/>
  <c r="H23" i="101"/>
  <c r="H24" i="101"/>
  <c r="H25" i="101"/>
  <c r="H26" i="101"/>
  <c r="H27" i="101"/>
  <c r="D11" i="171" s="1"/>
  <c r="H16" i="101"/>
  <c r="BS77" i="130"/>
  <c r="BS78" i="130"/>
  <c r="BS79" i="130"/>
  <c r="BS80" i="130"/>
  <c r="BS81" i="130"/>
  <c r="BS82" i="130"/>
  <c r="BS83" i="130"/>
  <c r="BS84" i="130"/>
  <c r="BS85" i="130"/>
  <c r="BS86" i="130"/>
  <c r="BS87" i="130"/>
  <c r="BS88" i="130"/>
  <c r="BR78" i="130"/>
  <c r="BR79" i="130"/>
  <c r="BR80" i="130"/>
  <c r="BR81" i="130"/>
  <c r="BR82" i="130"/>
  <c r="BR83" i="130"/>
  <c r="BR84" i="130"/>
  <c r="BR85" i="130"/>
  <c r="BR86" i="130"/>
  <c r="BR87" i="130"/>
  <c r="BR88" i="130"/>
  <c r="BR77" i="130"/>
  <c r="BQ82" i="130"/>
  <c r="BQ83" i="130"/>
  <c r="BQ84" i="130"/>
  <c r="BQ85" i="130"/>
  <c r="BQ86" i="130"/>
  <c r="BQ87" i="130"/>
  <c r="BQ88" i="130"/>
  <c r="BQ81" i="130"/>
  <c r="BE50" i="130"/>
  <c r="E9" i="172"/>
  <c r="D6" i="172"/>
  <c r="A3" i="172"/>
  <c r="A2" i="172"/>
  <c r="A1" i="172"/>
  <c r="AQ36" i="140" l="1"/>
  <c r="AQ37" i="140"/>
  <c r="AQ35" i="140"/>
  <c r="A6" i="171"/>
  <c r="AJ45" i="140"/>
  <c r="F6" i="171"/>
  <c r="F8" i="171" s="1"/>
  <c r="G6" i="171"/>
  <c r="G8" i="171" s="1"/>
  <c r="H6" i="171"/>
  <c r="I6" i="171"/>
  <c r="E6" i="171"/>
  <c r="K6" i="101"/>
  <c r="N6" i="173" s="1"/>
  <c r="N16" i="101"/>
  <c r="R16" i="101"/>
  <c r="N17" i="101"/>
  <c r="R17" i="101"/>
  <c r="N18" i="101"/>
  <c r="R18" i="101"/>
  <c r="N19" i="101"/>
  <c r="R19" i="101"/>
  <c r="A3" i="171"/>
  <c r="A2" i="171"/>
  <c r="A1" i="171"/>
  <c r="B13" i="171"/>
  <c r="B12" i="171"/>
  <c r="B11" i="171"/>
  <c r="B10" i="171"/>
  <c r="G16" i="171" l="1"/>
  <c r="G21" i="171"/>
  <c r="G31" i="171"/>
  <c r="G36" i="171"/>
  <c r="G26" i="171"/>
  <c r="G41" i="171"/>
  <c r="G15" i="171"/>
  <c r="G17" i="171"/>
  <c r="G20" i="171"/>
  <c r="G22" i="171"/>
  <c r="G30" i="171"/>
  <c r="G32" i="171"/>
  <c r="G35" i="171"/>
  <c r="G37" i="171"/>
  <c r="G25" i="171"/>
  <c r="G27" i="171"/>
  <c r="G40" i="171"/>
  <c r="G42" i="171"/>
  <c r="E16" i="171"/>
  <c r="E21" i="171"/>
  <c r="E31" i="171"/>
  <c r="E36" i="171"/>
  <c r="E26" i="171"/>
  <c r="E41" i="171"/>
  <c r="E15" i="171"/>
  <c r="E17" i="171"/>
  <c r="E20" i="171"/>
  <c r="E22" i="171"/>
  <c r="E30" i="171"/>
  <c r="E32" i="171"/>
  <c r="E35" i="171"/>
  <c r="E37" i="171"/>
  <c r="E25" i="171"/>
  <c r="E27" i="171"/>
  <c r="E40" i="171"/>
  <c r="E42" i="171"/>
  <c r="F15" i="171"/>
  <c r="F17" i="171"/>
  <c r="F20" i="171"/>
  <c r="F22" i="171"/>
  <c r="F30" i="171"/>
  <c r="F32" i="171"/>
  <c r="F35" i="171"/>
  <c r="F37" i="171"/>
  <c r="F25" i="171"/>
  <c r="F27" i="171"/>
  <c r="F40" i="171"/>
  <c r="F42" i="171"/>
  <c r="F16" i="171"/>
  <c r="F21" i="171"/>
  <c r="F31" i="171"/>
  <c r="F36" i="171"/>
  <c r="F26" i="171"/>
  <c r="F41" i="171"/>
  <c r="E9" i="100"/>
  <c r="C65" i="162"/>
  <c r="D65" i="162"/>
  <c r="E65" i="162"/>
  <c r="B65" i="162"/>
  <c r="A9" i="168"/>
  <c r="L6" i="168"/>
  <c r="B6" i="168"/>
  <c r="AW5" i="140"/>
  <c r="D7" i="173" s="1"/>
  <c r="BE50" i="163"/>
  <c r="BE50" i="164"/>
  <c r="BE50" i="165"/>
  <c r="BE50" i="166"/>
  <c r="BE50" i="167"/>
  <c r="D6" i="100"/>
  <c r="X68" i="140"/>
  <c r="Y68" i="140"/>
  <c r="F3" i="162"/>
  <c r="F4" i="162"/>
  <c r="F5" i="162"/>
  <c r="F6" i="162"/>
  <c r="F7" i="162"/>
  <c r="F8" i="162"/>
  <c r="F2" i="162"/>
  <c r="Y6" i="101"/>
  <c r="N6" i="168"/>
  <c r="AK34" i="140"/>
  <c r="AJ34" i="140"/>
  <c r="AM37" i="140"/>
  <c r="AN37" i="140"/>
  <c r="AO37" i="140"/>
  <c r="AP37" i="140"/>
  <c r="AJ37" i="140"/>
  <c r="AP2" i="140"/>
  <c r="AP36" i="140"/>
  <c r="AO36" i="140"/>
  <c r="AN36" i="140"/>
  <c r="AM36" i="140"/>
  <c r="AP3" i="140"/>
  <c r="H3" i="162"/>
  <c r="H4" i="162"/>
  <c r="H5" i="162"/>
  <c r="H6" i="162"/>
  <c r="H7" i="162"/>
  <c r="H8" i="162"/>
  <c r="H2" i="162"/>
  <c r="K81" i="167"/>
  <c r="J81" i="167"/>
  <c r="I81" i="167"/>
  <c r="H81" i="167"/>
  <c r="G81" i="167"/>
  <c r="K79" i="167"/>
  <c r="J79" i="167"/>
  <c r="I79" i="167"/>
  <c r="H79" i="167"/>
  <c r="G79" i="167"/>
  <c r="Y76" i="167"/>
  <c r="X76" i="167"/>
  <c r="W76" i="167"/>
  <c r="V76" i="167"/>
  <c r="U76" i="167"/>
  <c r="Y74" i="167"/>
  <c r="X74" i="167"/>
  <c r="W74" i="167"/>
  <c r="V74" i="167"/>
  <c r="U74" i="167"/>
  <c r="K71" i="167"/>
  <c r="J71" i="167"/>
  <c r="I71" i="167"/>
  <c r="H71" i="167"/>
  <c r="G71" i="167"/>
  <c r="K69" i="167"/>
  <c r="J69" i="167"/>
  <c r="I69" i="167"/>
  <c r="H69" i="167"/>
  <c r="G69" i="167"/>
  <c r="BA66" i="167"/>
  <c r="AZ66" i="167"/>
  <c r="AY66" i="167"/>
  <c r="AX66" i="167"/>
  <c r="AW66" i="167"/>
  <c r="AM66" i="167"/>
  <c r="AL66" i="167"/>
  <c r="AK66" i="167"/>
  <c r="AJ66" i="167"/>
  <c r="AI66" i="167"/>
  <c r="BA64" i="167"/>
  <c r="AZ64" i="167"/>
  <c r="AY64" i="167"/>
  <c r="AX64" i="167"/>
  <c r="AW64" i="167"/>
  <c r="AM64" i="167"/>
  <c r="AL64" i="167"/>
  <c r="AK64" i="167"/>
  <c r="AJ64" i="167"/>
  <c r="AI64" i="167"/>
  <c r="K61" i="167"/>
  <c r="J61" i="167"/>
  <c r="I61" i="167"/>
  <c r="H61" i="167"/>
  <c r="G61" i="167"/>
  <c r="K59" i="167"/>
  <c r="J59" i="167"/>
  <c r="I59" i="167"/>
  <c r="H59" i="167"/>
  <c r="G59" i="167"/>
  <c r="Y56" i="167"/>
  <c r="X56" i="167"/>
  <c r="W56" i="167"/>
  <c r="V56" i="167"/>
  <c r="U56" i="167"/>
  <c r="Y54" i="167"/>
  <c r="X54" i="167"/>
  <c r="W54" i="167"/>
  <c r="V54" i="167"/>
  <c r="U54" i="167"/>
  <c r="K51" i="167"/>
  <c r="J51" i="167"/>
  <c r="I51" i="167"/>
  <c r="H51" i="167"/>
  <c r="G51" i="167"/>
  <c r="K49" i="167"/>
  <c r="J49" i="167"/>
  <c r="I49" i="167"/>
  <c r="H49" i="167"/>
  <c r="G49" i="167"/>
  <c r="K41" i="167"/>
  <c r="J41" i="167"/>
  <c r="I41" i="167"/>
  <c r="H41" i="167"/>
  <c r="G41" i="167"/>
  <c r="K39" i="167"/>
  <c r="J39" i="167"/>
  <c r="I39" i="167"/>
  <c r="H39" i="167"/>
  <c r="G39" i="167"/>
  <c r="Y36" i="167"/>
  <c r="X36" i="167"/>
  <c r="W36" i="167"/>
  <c r="V36" i="167"/>
  <c r="U36" i="167"/>
  <c r="Y34" i="167"/>
  <c r="X34" i="167"/>
  <c r="W34" i="167"/>
  <c r="V34" i="167"/>
  <c r="U34" i="167"/>
  <c r="K31" i="167"/>
  <c r="J31" i="167"/>
  <c r="I31" i="167"/>
  <c r="H31" i="167"/>
  <c r="G31" i="167"/>
  <c r="K29" i="167"/>
  <c r="J29" i="167"/>
  <c r="I29" i="167"/>
  <c r="H29" i="167"/>
  <c r="G29" i="167"/>
  <c r="BA26" i="167"/>
  <c r="AZ26" i="167"/>
  <c r="AY26" i="167"/>
  <c r="AX26" i="167"/>
  <c r="AW26" i="167"/>
  <c r="AM26" i="167"/>
  <c r="AL26" i="167"/>
  <c r="AK26" i="167"/>
  <c r="AJ26" i="167"/>
  <c r="AI26" i="167"/>
  <c r="BA24" i="167"/>
  <c r="AZ24" i="167"/>
  <c r="AY24" i="167"/>
  <c r="AX24" i="167"/>
  <c r="AW24" i="167"/>
  <c r="AM24" i="167"/>
  <c r="AL24" i="167"/>
  <c r="AK24" i="167"/>
  <c r="AJ24" i="167"/>
  <c r="AI24" i="167"/>
  <c r="E38" i="171" l="1"/>
  <c r="E23" i="171"/>
  <c r="E18" i="171"/>
  <c r="E43" i="171"/>
  <c r="E28" i="171"/>
  <c r="E33" i="171"/>
  <c r="G43" i="171"/>
  <c r="G28" i="171"/>
  <c r="G38" i="171"/>
  <c r="G33" i="171"/>
  <c r="G23" i="171"/>
  <c r="G18" i="171"/>
  <c r="F43" i="171"/>
  <c r="F28" i="171"/>
  <c r="F38" i="171"/>
  <c r="F33" i="171"/>
  <c r="F23" i="171"/>
  <c r="F18" i="171"/>
  <c r="H42" i="171"/>
  <c r="H27" i="171"/>
  <c r="H37" i="171"/>
  <c r="H32" i="171"/>
  <c r="H22" i="171"/>
  <c r="H17" i="171"/>
  <c r="H41" i="171"/>
  <c r="H36" i="171"/>
  <c r="H21" i="171"/>
  <c r="H40" i="171"/>
  <c r="H25" i="171"/>
  <c r="H35" i="171"/>
  <c r="H30" i="171"/>
  <c r="H20" i="171"/>
  <c r="H15" i="171"/>
  <c r="H26" i="171"/>
  <c r="H31" i="171"/>
  <c r="H16" i="171"/>
  <c r="C9" i="168"/>
  <c r="E9" i="168"/>
  <c r="A6" i="101"/>
  <c r="B9" i="161"/>
  <c r="B1" i="161"/>
  <c r="A4" i="101"/>
  <c r="B8" i="161"/>
  <c r="AU8" i="140"/>
  <c r="B7" i="161"/>
  <c r="B6" i="161"/>
  <c r="B10" i="161"/>
  <c r="AU7" i="140"/>
  <c r="B5" i="161"/>
  <c r="G6" i="101"/>
  <c r="AU6" i="140"/>
  <c r="F6" i="101"/>
  <c r="M6" i="173" s="1"/>
  <c r="AU3" i="140"/>
  <c r="B4" i="161"/>
  <c r="D6" i="101"/>
  <c r="E6" i="101"/>
  <c r="K6" i="173" s="1"/>
  <c r="AU2" i="140"/>
  <c r="B3" i="161"/>
  <c r="B2" i="161"/>
  <c r="Y15" i="101"/>
  <c r="AB6" i="173"/>
  <c r="B11" i="161"/>
  <c r="Z54" i="167"/>
  <c r="BB64" i="167"/>
  <c r="L69" i="167"/>
  <c r="L81" i="167"/>
  <c r="AQ16" i="140"/>
  <c r="BE40" i="130"/>
  <c r="A4" i="172" s="1"/>
  <c r="A4" i="171"/>
  <c r="B6" i="171"/>
  <c r="BE52" i="163"/>
  <c r="D7" i="172"/>
  <c r="Z74" i="167"/>
  <c r="L51" i="167"/>
  <c r="L59" i="167"/>
  <c r="BB66" i="167"/>
  <c r="L31" i="167"/>
  <c r="L39" i="167"/>
  <c r="AN24" i="167"/>
  <c r="AJ5" i="140"/>
  <c r="AJ2" i="140"/>
  <c r="AN26" i="167"/>
  <c r="Z36" i="167"/>
  <c r="Z56" i="167"/>
  <c r="AN64" i="167"/>
  <c r="L79" i="167"/>
  <c r="BB24" i="167"/>
  <c r="L29" i="167"/>
  <c r="L71" i="167"/>
  <c r="BN63" i="167" s="1"/>
  <c r="L41" i="167"/>
  <c r="BN61" i="167" s="1"/>
  <c r="L49" i="167"/>
  <c r="L61" i="167"/>
  <c r="AN66" i="167"/>
  <c r="BP52" i="167" s="1"/>
  <c r="Z76" i="167"/>
  <c r="BB26" i="167"/>
  <c r="Z34" i="167"/>
  <c r="AB6" i="100"/>
  <c r="AJ4" i="140"/>
  <c r="AJ3" i="140"/>
  <c r="AB6" i="168"/>
  <c r="B7" i="168"/>
  <c r="BE52" i="166"/>
  <c r="BE52" i="130"/>
  <c r="BE52" i="164"/>
  <c r="BE52" i="167"/>
  <c r="BE52" i="165"/>
  <c r="D7" i="100"/>
  <c r="AQ15" i="140"/>
  <c r="AQ12" i="140"/>
  <c r="AQ10" i="140"/>
  <c r="AQ17" i="167"/>
  <c r="AQ17" i="165"/>
  <c r="AQ17" i="163"/>
  <c r="AQ57" i="167"/>
  <c r="AQ57" i="165"/>
  <c r="AQ57" i="163"/>
  <c r="BE40" i="167"/>
  <c r="BE40" i="165"/>
  <c r="BE40" i="163"/>
  <c r="AQ17" i="130"/>
  <c r="AQ17" i="166"/>
  <c r="AQ17" i="164"/>
  <c r="AQ57" i="130"/>
  <c r="AQ57" i="166"/>
  <c r="AQ57" i="164"/>
  <c r="BE40" i="166"/>
  <c r="BE40" i="164"/>
  <c r="K21" i="167"/>
  <c r="J21" i="167"/>
  <c r="I21" i="167"/>
  <c r="H21" i="167"/>
  <c r="G21" i="167"/>
  <c r="K19" i="167"/>
  <c r="J19" i="167"/>
  <c r="I19" i="167"/>
  <c r="H19" i="167"/>
  <c r="G19" i="167"/>
  <c r="Y16" i="167"/>
  <c r="X16" i="167"/>
  <c r="W16" i="167"/>
  <c r="V16" i="167"/>
  <c r="U16" i="167"/>
  <c r="Y14" i="167"/>
  <c r="X14" i="167"/>
  <c r="W14" i="167"/>
  <c r="V14" i="167"/>
  <c r="U14" i="167"/>
  <c r="K11" i="167"/>
  <c r="J11" i="167"/>
  <c r="I11" i="167"/>
  <c r="H11" i="167"/>
  <c r="G11" i="167"/>
  <c r="K9" i="167"/>
  <c r="J9" i="167"/>
  <c r="I9" i="167"/>
  <c r="H9" i="167"/>
  <c r="G9" i="167"/>
  <c r="I23" i="171" l="1"/>
  <c r="I22" i="171"/>
  <c r="I21" i="171"/>
  <c r="I20" i="171"/>
  <c r="I19" i="171"/>
  <c r="I35" i="171"/>
  <c r="I37" i="171"/>
  <c r="I36" i="171"/>
  <c r="I34" i="171"/>
  <c r="I38" i="171"/>
  <c r="I39" i="171"/>
  <c r="I41" i="171"/>
  <c r="I40" i="171"/>
  <c r="I43" i="171"/>
  <c r="I42" i="171"/>
  <c r="I16" i="171"/>
  <c r="I17" i="171"/>
  <c r="I14" i="171"/>
  <c r="I15" i="171"/>
  <c r="I18" i="171"/>
  <c r="I29" i="171"/>
  <c r="I32" i="171"/>
  <c r="I33" i="171"/>
  <c r="I30" i="171"/>
  <c r="I31" i="171"/>
  <c r="I25" i="171"/>
  <c r="I28" i="171"/>
  <c r="I27" i="171"/>
  <c r="I26" i="171"/>
  <c r="I24" i="171"/>
  <c r="AP5" i="140"/>
  <c r="AP6" i="140"/>
  <c r="AA18" i="140"/>
  <c r="J6" i="173"/>
  <c r="BO53" i="167"/>
  <c r="BO62" i="167" s="1"/>
  <c r="BN53" i="167"/>
  <c r="BO56" i="167"/>
  <c r="BO59" i="167" s="1"/>
  <c r="BP53" i="167"/>
  <c r="BP61" i="167" s="1"/>
  <c r="L6" i="172"/>
  <c r="AA68" i="140"/>
  <c r="BO55" i="167"/>
  <c r="BO60" i="167" s="1"/>
  <c r="BN55" i="167"/>
  <c r="BN59" i="167"/>
  <c r="BN51" i="167"/>
  <c r="BS76" i="167"/>
  <c r="BS75" i="167"/>
  <c r="BN62" i="167"/>
  <c r="BO52" i="167"/>
  <c r="BO63" i="167" s="1"/>
  <c r="BN60" i="167"/>
  <c r="BP55" i="167"/>
  <c r="BP63" i="167" s="1"/>
  <c r="BP60" i="167"/>
  <c r="BS74" i="167"/>
  <c r="BS73" i="167"/>
  <c r="BP51" i="167"/>
  <c r="BO54" i="167"/>
  <c r="BO61" i="167" s="1"/>
  <c r="BP50" i="167"/>
  <c r="BN54" i="167"/>
  <c r="BN64" i="167"/>
  <c r="BN52" i="167"/>
  <c r="BO51" i="167"/>
  <c r="BO64" i="167" s="1"/>
  <c r="AP4" i="140"/>
  <c r="AI6" i="140" s="1"/>
  <c r="BN56" i="167"/>
  <c r="AQ20" i="167"/>
  <c r="BE65" i="167"/>
  <c r="AQ60" i="167"/>
  <c r="K6" i="168"/>
  <c r="K6" i="172"/>
  <c r="L11" i="167"/>
  <c r="L9" i="167"/>
  <c r="BE25" i="167"/>
  <c r="M6" i="168"/>
  <c r="D6" i="171"/>
  <c r="D52" i="140"/>
  <c r="V52" i="140" s="1"/>
  <c r="AA72" i="140"/>
  <c r="AA71" i="140"/>
  <c r="AA81" i="140"/>
  <c r="D51" i="140"/>
  <c r="V51" i="140" s="1"/>
  <c r="D62" i="140"/>
  <c r="J62" i="140" s="1"/>
  <c r="AA66" i="140"/>
  <c r="Z16" i="167"/>
  <c r="D50" i="140"/>
  <c r="J50" i="140" s="1"/>
  <c r="AK5" i="140"/>
  <c r="AA67" i="140"/>
  <c r="AN5" i="140"/>
  <c r="D64" i="140"/>
  <c r="J64" i="140" s="1"/>
  <c r="AA70" i="140"/>
  <c r="AA69" i="140"/>
  <c r="AQ70" i="167"/>
  <c r="AQ30" i="167"/>
  <c r="D53" i="140"/>
  <c r="V53" i="140" s="1"/>
  <c r="D55" i="140"/>
  <c r="J55" i="140" s="1"/>
  <c r="D60" i="140"/>
  <c r="V60" i="140" s="1"/>
  <c r="AA74" i="140"/>
  <c r="AA73" i="140"/>
  <c r="L21" i="167"/>
  <c r="D57" i="140"/>
  <c r="V57" i="140" s="1"/>
  <c r="D59" i="140"/>
  <c r="V59" i="140" s="1"/>
  <c r="D58" i="140"/>
  <c r="J58" i="140" s="1"/>
  <c r="AA76" i="140"/>
  <c r="AA75" i="140"/>
  <c r="Z14" i="167"/>
  <c r="L19" i="167"/>
  <c r="D61" i="140"/>
  <c r="V61" i="140" s="1"/>
  <c r="D63" i="140"/>
  <c r="J63" i="140" s="1"/>
  <c r="D56" i="140"/>
  <c r="V56" i="140" s="1"/>
  <c r="AA78" i="140"/>
  <c r="AA77" i="140"/>
  <c r="D65" i="140"/>
  <c r="V65" i="140" s="1"/>
  <c r="D54" i="140"/>
  <c r="V54" i="140" s="1"/>
  <c r="AA80" i="140"/>
  <c r="AA79" i="140"/>
  <c r="AA20" i="140"/>
  <c r="AA22" i="140"/>
  <c r="AA24" i="140"/>
  <c r="AA26" i="140"/>
  <c r="AA28" i="140"/>
  <c r="AA30" i="140"/>
  <c r="AA32" i="140"/>
  <c r="AA19" i="140"/>
  <c r="AA21" i="140"/>
  <c r="AA23" i="140"/>
  <c r="AA25" i="140"/>
  <c r="AA27" i="140"/>
  <c r="AA29" i="140"/>
  <c r="AA31" i="140"/>
  <c r="AA33" i="140"/>
  <c r="AA36" i="140"/>
  <c r="AA38" i="140"/>
  <c r="AA40" i="140"/>
  <c r="AA42" i="140"/>
  <c r="AA44" i="140"/>
  <c r="AA46" i="140"/>
  <c r="AA48" i="140"/>
  <c r="AA34" i="140"/>
  <c r="AA35" i="140"/>
  <c r="AA37" i="140"/>
  <c r="AA39" i="140"/>
  <c r="AA41" i="140"/>
  <c r="AA43" i="140"/>
  <c r="AA45" i="140"/>
  <c r="AA47" i="140"/>
  <c r="AA49" i="140"/>
  <c r="AA52" i="140"/>
  <c r="AA54" i="140"/>
  <c r="AA56" i="140"/>
  <c r="AA58" i="140"/>
  <c r="AA60" i="140"/>
  <c r="AA62" i="140"/>
  <c r="AA64" i="140"/>
  <c r="AA50" i="140"/>
  <c r="AA51" i="140"/>
  <c r="AA53" i="140"/>
  <c r="AA55" i="140"/>
  <c r="AA57" i="140"/>
  <c r="AA59" i="140"/>
  <c r="AA61" i="140"/>
  <c r="AA63" i="140"/>
  <c r="AA65" i="140"/>
  <c r="AN3" i="140"/>
  <c r="AN2" i="140"/>
  <c r="AN4" i="140"/>
  <c r="AK2" i="140"/>
  <c r="A5" i="130" s="1"/>
  <c r="D4" i="140"/>
  <c r="D100" i="140" s="1"/>
  <c r="D6" i="140"/>
  <c r="D102" i="140" s="1"/>
  <c r="D8" i="140"/>
  <c r="D104" i="140" s="1"/>
  <c r="D10" i="140"/>
  <c r="D106" i="140" s="1"/>
  <c r="D12" i="140"/>
  <c r="D108" i="140" s="1"/>
  <c r="D14" i="140"/>
  <c r="D110" i="140" s="1"/>
  <c r="D16" i="140"/>
  <c r="D112" i="140" s="1"/>
  <c r="D2" i="140"/>
  <c r="D98" i="140" s="1"/>
  <c r="D5" i="140"/>
  <c r="D101" i="140" s="1"/>
  <c r="D9" i="140"/>
  <c r="D105" i="140" s="1"/>
  <c r="D13" i="140"/>
  <c r="D109" i="140" s="1"/>
  <c r="D17" i="140"/>
  <c r="D113" i="140" s="1"/>
  <c r="D3" i="140"/>
  <c r="D99" i="140" s="1"/>
  <c r="D7" i="140"/>
  <c r="D103" i="140" s="1"/>
  <c r="D11" i="140"/>
  <c r="D107" i="140" s="1"/>
  <c r="D15" i="140"/>
  <c r="D111" i="140" s="1"/>
  <c r="AK4" i="140"/>
  <c r="D36" i="140"/>
  <c r="D38" i="140"/>
  <c r="D40" i="140"/>
  <c r="D42" i="140"/>
  <c r="D44" i="140"/>
  <c r="D46" i="140"/>
  <c r="D48" i="140"/>
  <c r="D34" i="140"/>
  <c r="D37" i="140"/>
  <c r="D41" i="140"/>
  <c r="D45" i="140"/>
  <c r="D49" i="140"/>
  <c r="D35" i="140"/>
  <c r="D39" i="140"/>
  <c r="D43" i="140"/>
  <c r="D47" i="140"/>
  <c r="AK3" i="140"/>
  <c r="A5" i="163" s="1"/>
  <c r="D20" i="140"/>
  <c r="D22" i="140"/>
  <c r="D24" i="140"/>
  <c r="D26" i="140"/>
  <c r="D28" i="140"/>
  <c r="D30" i="140"/>
  <c r="D32" i="140"/>
  <c r="D18" i="140"/>
  <c r="D21" i="140"/>
  <c r="D25" i="140"/>
  <c r="D29" i="140"/>
  <c r="D33" i="140"/>
  <c r="D19" i="140"/>
  <c r="D23" i="140"/>
  <c r="D27" i="140"/>
  <c r="D31" i="140"/>
  <c r="K81" i="166"/>
  <c r="J81" i="166"/>
  <c r="I81" i="166"/>
  <c r="H81" i="166"/>
  <c r="G81" i="166"/>
  <c r="AR20" i="167"/>
  <c r="AR60" i="167"/>
  <c r="AR30" i="167"/>
  <c r="AR70" i="167"/>
  <c r="AE181" i="140"/>
  <c r="AE158" i="140"/>
  <c r="AE179" i="140"/>
  <c r="AE141" i="140"/>
  <c r="AE164" i="140"/>
  <c r="AE163" i="140"/>
  <c r="AE208" i="140"/>
  <c r="AE211" i="140"/>
  <c r="AE168" i="140"/>
  <c r="AE162" i="140"/>
  <c r="AE135" i="140"/>
  <c r="AE153" i="140"/>
  <c r="AE136" i="140"/>
  <c r="AE197" i="140"/>
  <c r="AE187" i="140"/>
  <c r="AE157" i="140"/>
  <c r="AE185" i="140"/>
  <c r="AE188" i="140"/>
  <c r="AE194" i="140"/>
  <c r="AE210" i="140"/>
  <c r="AE219" i="140"/>
  <c r="AE156" i="140"/>
  <c r="AE169" i="140"/>
  <c r="AE217" i="140"/>
  <c r="AE182" i="140"/>
  <c r="AE173" i="140"/>
  <c r="AE138" i="140"/>
  <c r="AE202" i="140"/>
  <c r="AE165" i="140"/>
  <c r="AE155" i="140"/>
  <c r="AE134" i="140"/>
  <c r="AE207" i="140"/>
  <c r="AE191" i="140"/>
  <c r="AE178" i="140"/>
  <c r="AE220" i="140"/>
  <c r="AE206" i="140"/>
  <c r="AE154" i="140"/>
  <c r="AE221" i="140"/>
  <c r="AE2" i="140"/>
  <c r="AE203" i="140"/>
  <c r="AE189" i="140"/>
  <c r="AE213" i="140"/>
  <c r="AE192" i="140"/>
  <c r="AE204" i="140"/>
  <c r="AE159" i="140"/>
  <c r="AE200" i="140"/>
  <c r="AE152" i="140"/>
  <c r="AE160" i="140"/>
  <c r="AE139" i="140"/>
  <c r="AE161" i="140"/>
  <c r="AE177" i="140"/>
  <c r="AE147" i="140"/>
  <c r="AE198" i="140"/>
  <c r="AE146" i="140"/>
  <c r="AE209" i="140"/>
  <c r="AE149" i="140"/>
  <c r="AE218" i="140"/>
  <c r="AE199" i="140"/>
  <c r="AE212" i="140"/>
  <c r="AE222" i="140"/>
  <c r="AE216" i="140"/>
  <c r="AE166" i="140"/>
  <c r="AE143" i="140"/>
  <c r="AE176" i="140"/>
  <c r="AE137" i="140"/>
  <c r="AE142" i="140"/>
  <c r="AE150" i="140"/>
  <c r="AE175" i="140"/>
  <c r="AE151" i="140"/>
  <c r="AE195" i="140"/>
  <c r="AE215" i="140"/>
  <c r="AE167" i="140"/>
  <c r="AE190" i="140"/>
  <c r="AE180" i="140"/>
  <c r="AE174" i="140"/>
  <c r="AE145" i="140"/>
  <c r="AE148" i="140"/>
  <c r="AE140" i="140"/>
  <c r="AE201" i="140"/>
  <c r="AE196" i="140"/>
  <c r="AE186" i="140"/>
  <c r="AE171" i="140"/>
  <c r="AE214" i="140"/>
  <c r="AE144" i="140"/>
  <c r="AE133" i="140"/>
  <c r="AE184" i="140"/>
  <c r="AE170" i="140"/>
  <c r="AE193" i="140"/>
  <c r="AE172" i="140"/>
  <c r="AE223" i="140"/>
  <c r="AE183" i="140"/>
  <c r="AE205" i="140"/>
  <c r="BP54" i="167" l="1"/>
  <c r="BP62" i="167" s="1"/>
  <c r="A4" i="130"/>
  <c r="BO75" i="167"/>
  <c r="BR75" i="167" s="1"/>
  <c r="BO73" i="167"/>
  <c r="BR73" i="167" s="1"/>
  <c r="BO50" i="167"/>
  <c r="BO65" i="167" s="1"/>
  <c r="BN50" i="167"/>
  <c r="BO76" i="167"/>
  <c r="BR76" i="167" s="1"/>
  <c r="BN58" i="167"/>
  <c r="J52" i="140"/>
  <c r="BO74" i="167"/>
  <c r="BP57" i="167"/>
  <c r="BP65" i="167" s="1"/>
  <c r="BP58" i="167"/>
  <c r="BP59" i="167"/>
  <c r="BP56" i="167"/>
  <c r="BP64" i="167" s="1"/>
  <c r="BN57" i="167"/>
  <c r="BO57" i="167"/>
  <c r="BO58" i="167" s="1"/>
  <c r="BN65" i="167"/>
  <c r="AJ6" i="140"/>
  <c r="AI7" i="140"/>
  <c r="AJ7" i="140" s="1"/>
  <c r="A4" i="163"/>
  <c r="BK48" i="167"/>
  <c r="BF48" i="167"/>
  <c r="V50" i="140"/>
  <c r="BF44" i="167"/>
  <c r="BK44" i="167"/>
  <c r="J57" i="140"/>
  <c r="J54" i="140"/>
  <c r="J51" i="140"/>
  <c r="V62" i="140"/>
  <c r="V64" i="140"/>
  <c r="V58" i="140"/>
  <c r="V55" i="140"/>
  <c r="J53" i="140"/>
  <c r="J61" i="140"/>
  <c r="J56" i="140"/>
  <c r="J59" i="140"/>
  <c r="J60" i="140"/>
  <c r="V63" i="140"/>
  <c r="J65" i="140"/>
  <c r="L81" i="166"/>
  <c r="V31" i="140"/>
  <c r="J31" i="140"/>
  <c r="V33" i="140"/>
  <c r="J33" i="140"/>
  <c r="V25" i="140"/>
  <c r="J25" i="140"/>
  <c r="V18" i="140"/>
  <c r="J18" i="140"/>
  <c r="V30" i="140"/>
  <c r="J30" i="140"/>
  <c r="V26" i="140"/>
  <c r="J26" i="140"/>
  <c r="V22" i="140"/>
  <c r="J22" i="140"/>
  <c r="V47" i="140"/>
  <c r="J47" i="140"/>
  <c r="V39" i="140"/>
  <c r="J39" i="140"/>
  <c r="V49" i="140"/>
  <c r="J49" i="140"/>
  <c r="V41" i="140"/>
  <c r="J41" i="140"/>
  <c r="V34" i="140"/>
  <c r="J34" i="140"/>
  <c r="V46" i="140"/>
  <c r="J46" i="140"/>
  <c r="V42" i="140"/>
  <c r="J42" i="140"/>
  <c r="V38" i="140"/>
  <c r="J38" i="140"/>
  <c r="V11" i="140"/>
  <c r="J11" i="140"/>
  <c r="V3" i="140"/>
  <c r="J3" i="140"/>
  <c r="V13" i="140"/>
  <c r="J13" i="140"/>
  <c r="V5" i="140"/>
  <c r="J5" i="140"/>
  <c r="V16" i="140"/>
  <c r="J16" i="140"/>
  <c r="V12" i="140"/>
  <c r="J12" i="140"/>
  <c r="V8" i="140"/>
  <c r="J8" i="140"/>
  <c r="V4" i="140"/>
  <c r="J4" i="140"/>
  <c r="V23" i="140"/>
  <c r="J23" i="140"/>
  <c r="V27" i="140"/>
  <c r="J27" i="140"/>
  <c r="V19" i="140"/>
  <c r="J19" i="140"/>
  <c r="V29" i="140"/>
  <c r="J29" i="140"/>
  <c r="V21" i="140"/>
  <c r="J21" i="140"/>
  <c r="V32" i="140"/>
  <c r="J32" i="140"/>
  <c r="V28" i="140"/>
  <c r="J28" i="140"/>
  <c r="V24" i="140"/>
  <c r="J24" i="140"/>
  <c r="V20" i="140"/>
  <c r="J20" i="140"/>
  <c r="V43" i="140"/>
  <c r="J43" i="140"/>
  <c r="V35" i="140"/>
  <c r="J35" i="140"/>
  <c r="V45" i="140"/>
  <c r="J45" i="140"/>
  <c r="V37" i="140"/>
  <c r="J37" i="140"/>
  <c r="V48" i="140"/>
  <c r="J48" i="140"/>
  <c r="V44" i="140"/>
  <c r="J44" i="140"/>
  <c r="V40" i="140"/>
  <c r="J40" i="140"/>
  <c r="V36" i="140"/>
  <c r="J36" i="140"/>
  <c r="V15" i="140"/>
  <c r="J15" i="140"/>
  <c r="V7" i="140"/>
  <c r="J7" i="140"/>
  <c r="V17" i="140"/>
  <c r="J17" i="140"/>
  <c r="V9" i="140"/>
  <c r="J9" i="140"/>
  <c r="V2" i="140"/>
  <c r="J2" i="140"/>
  <c r="V14" i="140"/>
  <c r="J14" i="140"/>
  <c r="V10" i="140"/>
  <c r="J10" i="140"/>
  <c r="V6" i="140"/>
  <c r="J6" i="140"/>
  <c r="K79" i="166"/>
  <c r="J79" i="166"/>
  <c r="I79" i="166"/>
  <c r="H79" i="166"/>
  <c r="G79" i="166"/>
  <c r="Y76" i="166"/>
  <c r="X76" i="166"/>
  <c r="W76" i="166"/>
  <c r="V76" i="166"/>
  <c r="U76" i="166"/>
  <c r="Y74" i="166"/>
  <c r="X74" i="166"/>
  <c r="W74" i="166"/>
  <c r="V74" i="166"/>
  <c r="U74" i="166"/>
  <c r="K71" i="166"/>
  <c r="J71" i="166"/>
  <c r="I71" i="166"/>
  <c r="H71" i="166"/>
  <c r="G71" i="166"/>
  <c r="K69" i="166"/>
  <c r="J69" i="166"/>
  <c r="I69" i="166"/>
  <c r="H69" i="166"/>
  <c r="G69" i="166"/>
  <c r="BA66" i="166"/>
  <c r="AZ66" i="166"/>
  <c r="AY66" i="166"/>
  <c r="AX66" i="166"/>
  <c r="AW66" i="166"/>
  <c r="AM66" i="166"/>
  <c r="AL66" i="166"/>
  <c r="AK66" i="166"/>
  <c r="AJ66" i="166"/>
  <c r="AI66" i="166"/>
  <c r="BA64" i="166"/>
  <c r="AZ64" i="166"/>
  <c r="AY64" i="166"/>
  <c r="AX64" i="166"/>
  <c r="AW64" i="166"/>
  <c r="AM64" i="166"/>
  <c r="AL64" i="166"/>
  <c r="AK64" i="166"/>
  <c r="AJ64" i="166"/>
  <c r="AI64" i="166"/>
  <c r="K61" i="166"/>
  <c r="J61" i="166"/>
  <c r="I61" i="166"/>
  <c r="H61" i="166"/>
  <c r="G61" i="166"/>
  <c r="K59" i="166"/>
  <c r="J59" i="166"/>
  <c r="I59" i="166"/>
  <c r="H59" i="166"/>
  <c r="G59" i="166"/>
  <c r="Y56" i="166"/>
  <c r="X56" i="166"/>
  <c r="W56" i="166"/>
  <c r="V56" i="166"/>
  <c r="U56" i="166"/>
  <c r="Y54" i="166"/>
  <c r="X54" i="166"/>
  <c r="W54" i="166"/>
  <c r="V54" i="166"/>
  <c r="U54" i="166"/>
  <c r="K51" i="166"/>
  <c r="J51" i="166"/>
  <c r="I51" i="166"/>
  <c r="H51" i="166"/>
  <c r="G51" i="166"/>
  <c r="K49" i="166"/>
  <c r="J49" i="166"/>
  <c r="I49" i="166"/>
  <c r="H49" i="166"/>
  <c r="G49" i="166"/>
  <c r="K41" i="166"/>
  <c r="J41" i="166"/>
  <c r="I41" i="166"/>
  <c r="H41" i="166"/>
  <c r="G41" i="166"/>
  <c r="K39" i="166"/>
  <c r="J39" i="166"/>
  <c r="I39" i="166"/>
  <c r="H39" i="166"/>
  <c r="G39" i="166"/>
  <c r="Y36" i="166"/>
  <c r="X36" i="166"/>
  <c r="W36" i="166"/>
  <c r="V36" i="166"/>
  <c r="U36" i="166"/>
  <c r="Y34" i="166"/>
  <c r="X34" i="166"/>
  <c r="W34" i="166"/>
  <c r="V34" i="166"/>
  <c r="U34" i="166"/>
  <c r="K31" i="166"/>
  <c r="J31" i="166"/>
  <c r="I31" i="166"/>
  <c r="H31" i="166"/>
  <c r="G31" i="166"/>
  <c r="K29" i="166"/>
  <c r="J29" i="166"/>
  <c r="I29" i="166"/>
  <c r="H29" i="166"/>
  <c r="G29" i="166"/>
  <c r="BA26" i="166"/>
  <c r="AZ26" i="166"/>
  <c r="AY26" i="166"/>
  <c r="AX26" i="166"/>
  <c r="AW26" i="166"/>
  <c r="AM26" i="166"/>
  <c r="AL26" i="166"/>
  <c r="AK26" i="166"/>
  <c r="AJ26" i="166"/>
  <c r="AI26" i="166"/>
  <c r="BA24" i="166"/>
  <c r="AZ24" i="166"/>
  <c r="AY24" i="166"/>
  <c r="AX24" i="166"/>
  <c r="AW24" i="166"/>
  <c r="AM24" i="166"/>
  <c r="AL24" i="166"/>
  <c r="AK24" i="166"/>
  <c r="AJ24" i="166"/>
  <c r="AI24" i="166"/>
  <c r="BF65" i="167"/>
  <c r="BF25" i="167"/>
  <c r="BP73" i="167" l="1"/>
  <c r="BQ73" i="167"/>
  <c r="BQ75" i="167"/>
  <c r="BP75" i="167"/>
  <c r="BP76" i="167"/>
  <c r="BQ76" i="167"/>
  <c r="AN7" i="140"/>
  <c r="D66" i="140"/>
  <c r="BQ74" i="167"/>
  <c r="BR74" i="167"/>
  <c r="BP74" i="167"/>
  <c r="F14" i="101"/>
  <c r="F13" i="101" s="1"/>
  <c r="F12" i="101" s="1"/>
  <c r="Q12" i="101" s="1"/>
  <c r="AA88" i="140"/>
  <c r="D72" i="140"/>
  <c r="V72" i="140" s="1"/>
  <c r="AA91" i="140"/>
  <c r="AA86" i="140"/>
  <c r="D76" i="140"/>
  <c r="V76" i="140" s="1"/>
  <c r="AA89" i="140"/>
  <c r="AA84" i="140"/>
  <c r="D80" i="140"/>
  <c r="V80" i="140" s="1"/>
  <c r="AA87" i="140"/>
  <c r="D79" i="140"/>
  <c r="J79" i="140" s="1"/>
  <c r="AA90" i="140"/>
  <c r="D81" i="140"/>
  <c r="J81" i="140" s="1"/>
  <c r="D75" i="140"/>
  <c r="V75" i="140" s="1"/>
  <c r="AA85" i="140"/>
  <c r="AK6" i="140"/>
  <c r="D69" i="140"/>
  <c r="J69" i="140" s="1"/>
  <c r="D68" i="140"/>
  <c r="V68" i="140" s="1"/>
  <c r="AA83" i="140"/>
  <c r="AN6" i="140"/>
  <c r="D78" i="140"/>
  <c r="V78" i="140" s="1"/>
  <c r="AA92" i="140"/>
  <c r="D74" i="140"/>
  <c r="V74" i="140" s="1"/>
  <c r="D71" i="140"/>
  <c r="V71" i="140" s="1"/>
  <c r="AA95" i="140"/>
  <c r="AA96" i="140"/>
  <c r="D73" i="140"/>
  <c r="J73" i="140" s="1"/>
  <c r="D67" i="140"/>
  <c r="J67" i="140" s="1"/>
  <c r="AA97" i="140"/>
  <c r="AA82" i="140"/>
  <c r="D70" i="140"/>
  <c r="J70" i="140" s="1"/>
  <c r="D77" i="140"/>
  <c r="V77" i="140" s="1"/>
  <c r="AA93" i="140"/>
  <c r="AA94" i="140"/>
  <c r="AK7" i="140"/>
  <c r="AA112" i="140"/>
  <c r="AA111" i="140"/>
  <c r="D88" i="140"/>
  <c r="D87" i="140"/>
  <c r="AA98" i="140"/>
  <c r="AA113" i="140"/>
  <c r="D90" i="140"/>
  <c r="D89" i="140"/>
  <c r="AA100" i="140"/>
  <c r="AA99" i="140"/>
  <c r="D92" i="140"/>
  <c r="D91" i="140"/>
  <c r="AA104" i="140"/>
  <c r="D96" i="140"/>
  <c r="D84" i="140"/>
  <c r="D83" i="140"/>
  <c r="AA110" i="140"/>
  <c r="AA109" i="140"/>
  <c r="AA102" i="140"/>
  <c r="AA101" i="140"/>
  <c r="D94" i="140"/>
  <c r="D93" i="140"/>
  <c r="D85" i="140"/>
  <c r="AA103" i="140"/>
  <c r="D95" i="140"/>
  <c r="D86" i="140"/>
  <c r="AA106" i="140"/>
  <c r="AA105" i="140"/>
  <c r="D82" i="140"/>
  <c r="D97" i="140"/>
  <c r="AA108" i="140"/>
  <c r="AA107" i="140"/>
  <c r="Z54" i="166"/>
  <c r="BB64" i="166"/>
  <c r="L69" i="166"/>
  <c r="Z74" i="166"/>
  <c r="Z34" i="166"/>
  <c r="L41" i="166"/>
  <c r="Z76" i="166"/>
  <c r="BO55" i="166" s="1"/>
  <c r="BO60" i="166" s="1"/>
  <c r="BB26" i="166"/>
  <c r="L31" i="166"/>
  <c r="BB66" i="166"/>
  <c r="AN26" i="166"/>
  <c r="L79" i="166"/>
  <c r="BN55" i="166" s="1"/>
  <c r="AN24" i="166"/>
  <c r="L51" i="166"/>
  <c r="L59" i="166"/>
  <c r="L29" i="166"/>
  <c r="Z36" i="166"/>
  <c r="Z56" i="166"/>
  <c r="AN64" i="166"/>
  <c r="L71" i="166"/>
  <c r="L39" i="166"/>
  <c r="BB24" i="166"/>
  <c r="L49" i="166"/>
  <c r="L61" i="166"/>
  <c r="AN66" i="166"/>
  <c r="K21" i="166"/>
  <c r="J21" i="166"/>
  <c r="I21" i="166"/>
  <c r="H21" i="166"/>
  <c r="G21" i="166"/>
  <c r="K19" i="166"/>
  <c r="J19" i="166"/>
  <c r="I19" i="166"/>
  <c r="H19" i="166"/>
  <c r="G19" i="166"/>
  <c r="Y16" i="166"/>
  <c r="X16" i="166"/>
  <c r="W16" i="166"/>
  <c r="V16" i="166"/>
  <c r="U16" i="166"/>
  <c r="Y14" i="166"/>
  <c r="X14" i="166"/>
  <c r="W14" i="166"/>
  <c r="V14" i="166"/>
  <c r="U14" i="166"/>
  <c r="K11" i="166"/>
  <c r="J11" i="166"/>
  <c r="I11" i="166"/>
  <c r="H11" i="166"/>
  <c r="G11" i="166"/>
  <c r="K9" i="166"/>
  <c r="J9" i="166"/>
  <c r="I9" i="166"/>
  <c r="H9" i="166"/>
  <c r="G9" i="166"/>
  <c r="K81" i="165"/>
  <c r="J81" i="165"/>
  <c r="I81" i="165"/>
  <c r="H81" i="165"/>
  <c r="G81" i="165"/>
  <c r="K79" i="165"/>
  <c r="J79" i="165"/>
  <c r="I79" i="165"/>
  <c r="H79" i="165"/>
  <c r="G79" i="165"/>
  <c r="Y76" i="165"/>
  <c r="X76" i="165"/>
  <c r="W76" i="165"/>
  <c r="V76" i="165"/>
  <c r="U76" i="165"/>
  <c r="Y74" i="165"/>
  <c r="X74" i="165"/>
  <c r="W74" i="165"/>
  <c r="V74" i="165"/>
  <c r="U74" i="165"/>
  <c r="K71" i="165"/>
  <c r="J71" i="165"/>
  <c r="I71" i="165"/>
  <c r="H71" i="165"/>
  <c r="G71" i="165"/>
  <c r="K69" i="165"/>
  <c r="J69" i="165"/>
  <c r="I69" i="165"/>
  <c r="H69" i="165"/>
  <c r="G69" i="165"/>
  <c r="BA66" i="165"/>
  <c r="AZ66" i="165"/>
  <c r="AY66" i="165"/>
  <c r="AX66" i="165"/>
  <c r="AW66" i="165"/>
  <c r="AM66" i="165"/>
  <c r="AL66" i="165"/>
  <c r="AK66" i="165"/>
  <c r="AJ66" i="165"/>
  <c r="AI66" i="165"/>
  <c r="BA64" i="165"/>
  <c r="AZ64" i="165"/>
  <c r="AY64" i="165"/>
  <c r="AX64" i="165"/>
  <c r="AW64" i="165"/>
  <c r="AM64" i="165"/>
  <c r="AL64" i="165"/>
  <c r="AK64" i="165"/>
  <c r="AJ64" i="165"/>
  <c r="AI64" i="165"/>
  <c r="K61" i="165"/>
  <c r="J61" i="165"/>
  <c r="I61" i="165"/>
  <c r="H61" i="165"/>
  <c r="G61" i="165"/>
  <c r="K59" i="165"/>
  <c r="J59" i="165"/>
  <c r="I59" i="165"/>
  <c r="H59" i="165"/>
  <c r="G59" i="165"/>
  <c r="Y56" i="165"/>
  <c r="X56" i="165"/>
  <c r="W56" i="165"/>
  <c r="V56" i="165"/>
  <c r="U56" i="165"/>
  <c r="Y54" i="165"/>
  <c r="X54" i="165"/>
  <c r="W54" i="165"/>
  <c r="V54" i="165"/>
  <c r="U54" i="165"/>
  <c r="K51" i="165"/>
  <c r="J51" i="165"/>
  <c r="I51" i="165"/>
  <c r="H51" i="165"/>
  <c r="G51" i="165"/>
  <c r="K49" i="165"/>
  <c r="J49" i="165"/>
  <c r="I49" i="165"/>
  <c r="H49" i="165"/>
  <c r="G49" i="165"/>
  <c r="K41" i="165"/>
  <c r="J41" i="165"/>
  <c r="I41" i="165"/>
  <c r="H41" i="165"/>
  <c r="G41" i="165"/>
  <c r="K39" i="165"/>
  <c r="J39" i="165"/>
  <c r="I39" i="165"/>
  <c r="H39" i="165"/>
  <c r="G39" i="165"/>
  <c r="Y36" i="165"/>
  <c r="X36" i="165"/>
  <c r="W36" i="165"/>
  <c r="V36" i="165"/>
  <c r="U36" i="165"/>
  <c r="Y34" i="165"/>
  <c r="X34" i="165"/>
  <c r="W34" i="165"/>
  <c r="V34" i="165"/>
  <c r="U34" i="165"/>
  <c r="K31" i="165"/>
  <c r="J31" i="165"/>
  <c r="I31" i="165"/>
  <c r="H31" i="165"/>
  <c r="G31" i="165"/>
  <c r="K29" i="165"/>
  <c r="J29" i="165"/>
  <c r="I29" i="165"/>
  <c r="H29" i="165"/>
  <c r="G29" i="165"/>
  <c r="BA26" i="165"/>
  <c r="AZ26" i="165"/>
  <c r="AY26" i="165"/>
  <c r="AX26" i="165"/>
  <c r="AW26" i="165"/>
  <c r="AM26" i="165"/>
  <c r="AL26" i="165"/>
  <c r="AK26" i="165"/>
  <c r="AJ26" i="165"/>
  <c r="AI26" i="165"/>
  <c r="BA24" i="165"/>
  <c r="AZ24" i="165"/>
  <c r="AY24" i="165"/>
  <c r="AX24" i="165"/>
  <c r="AW24" i="165"/>
  <c r="AM24" i="165"/>
  <c r="AL24" i="165"/>
  <c r="AK24" i="165"/>
  <c r="AJ24" i="165"/>
  <c r="AI24" i="165"/>
  <c r="BN51" i="166" l="1"/>
  <c r="AC2" i="140"/>
  <c r="BN54" i="166"/>
  <c r="BN53" i="166"/>
  <c r="BN59" i="166"/>
  <c r="BN63" i="166"/>
  <c r="H9" i="168"/>
  <c r="I9" i="168"/>
  <c r="J66" i="140"/>
  <c r="J75" i="140"/>
  <c r="V66" i="140"/>
  <c r="BP52" i="166"/>
  <c r="BP55" i="166" s="1"/>
  <c r="BP63" i="166" s="1"/>
  <c r="BP53" i="166"/>
  <c r="BP61" i="166" s="1"/>
  <c r="BO56" i="166"/>
  <c r="BO59" i="166" s="1"/>
  <c r="J68" i="140"/>
  <c r="J77" i="140"/>
  <c r="J80" i="140"/>
  <c r="V69" i="140"/>
  <c r="J78" i="140"/>
  <c r="J74" i="140"/>
  <c r="J71" i="140"/>
  <c r="V67" i="140"/>
  <c r="BO54" i="166"/>
  <c r="BO61" i="166" s="1"/>
  <c r="BS74" i="166"/>
  <c r="BS73" i="166"/>
  <c r="BS76" i="166"/>
  <c r="BS75" i="166"/>
  <c r="BP51" i="166"/>
  <c r="BN56" i="166"/>
  <c r="BP50" i="166"/>
  <c r="BN61" i="166"/>
  <c r="BO52" i="166"/>
  <c r="BO63" i="166" s="1"/>
  <c r="BP54" i="166"/>
  <c r="BP62" i="166" s="1"/>
  <c r="BN64" i="166"/>
  <c r="BN62" i="166"/>
  <c r="BO53" i="166"/>
  <c r="BO62" i="166" s="1"/>
  <c r="BN52" i="166"/>
  <c r="BO51" i="166"/>
  <c r="BO64" i="166" s="1"/>
  <c r="BN60" i="166"/>
  <c r="J72" i="140"/>
  <c r="V73" i="140"/>
  <c r="V81" i="140"/>
  <c r="Q14" i="101"/>
  <c r="J14" i="101"/>
  <c r="J76" i="140"/>
  <c r="V79" i="140"/>
  <c r="V70" i="140"/>
  <c r="V93" i="140"/>
  <c r="J93" i="140"/>
  <c r="V82" i="140"/>
  <c r="J82" i="140"/>
  <c r="V85" i="140"/>
  <c r="J85" i="140"/>
  <c r="V84" i="140"/>
  <c r="J84" i="140"/>
  <c r="V90" i="140"/>
  <c r="J90" i="140"/>
  <c r="V94" i="140"/>
  <c r="J94" i="140"/>
  <c r="V91" i="140"/>
  <c r="J91" i="140"/>
  <c r="V87" i="140"/>
  <c r="J87" i="140"/>
  <c r="V97" i="140"/>
  <c r="J97" i="140"/>
  <c r="V92" i="140"/>
  <c r="J92" i="140"/>
  <c r="V88" i="140"/>
  <c r="J88" i="140"/>
  <c r="V86" i="140"/>
  <c r="J86" i="140"/>
  <c r="V95" i="140"/>
  <c r="J95" i="140"/>
  <c r="V96" i="140"/>
  <c r="J96" i="140"/>
  <c r="V83" i="140"/>
  <c r="J83" i="140"/>
  <c r="V89" i="140"/>
  <c r="J89" i="140"/>
  <c r="BE25" i="166"/>
  <c r="AQ20" i="166"/>
  <c r="BE65" i="166"/>
  <c r="Z14" i="166"/>
  <c r="Q13" i="101"/>
  <c r="J13" i="101"/>
  <c r="F11" i="101"/>
  <c r="J12" i="101"/>
  <c r="Z56" i="165"/>
  <c r="AN66" i="165"/>
  <c r="AN26" i="165"/>
  <c r="Z36" i="165"/>
  <c r="BB66" i="165"/>
  <c r="Z74" i="165"/>
  <c r="Z34" i="165"/>
  <c r="L69" i="165"/>
  <c r="L81" i="165"/>
  <c r="L31" i="165"/>
  <c r="L39" i="165"/>
  <c r="L51" i="165"/>
  <c r="L59" i="165"/>
  <c r="L9" i="166"/>
  <c r="AQ70" i="166"/>
  <c r="AR70" i="166" s="1"/>
  <c r="AQ30" i="166"/>
  <c r="AR30" i="166" s="1"/>
  <c r="L71" i="165"/>
  <c r="L29" i="165"/>
  <c r="BN53" i="165" s="1"/>
  <c r="L79" i="165"/>
  <c r="BB24" i="165"/>
  <c r="L41" i="165"/>
  <c r="L49" i="165"/>
  <c r="L61" i="165"/>
  <c r="AN64" i="165"/>
  <c r="L21" i="166"/>
  <c r="BB26" i="165"/>
  <c r="Z76" i="165"/>
  <c r="L11" i="166"/>
  <c r="L19" i="166"/>
  <c r="AN24" i="165"/>
  <c r="Z54" i="165"/>
  <c r="BB64" i="165"/>
  <c r="AQ60" i="166"/>
  <c r="AR60" i="166" s="1"/>
  <c r="Z16" i="166"/>
  <c r="K21" i="165"/>
  <c r="J21" i="165"/>
  <c r="I21" i="165"/>
  <c r="H21" i="165"/>
  <c r="G21" i="165"/>
  <c r="K19" i="165"/>
  <c r="J19" i="165"/>
  <c r="I19" i="165"/>
  <c r="H19" i="165"/>
  <c r="G19" i="165"/>
  <c r="Y16" i="165"/>
  <c r="X16" i="165"/>
  <c r="W16" i="165"/>
  <c r="V16" i="165"/>
  <c r="U16" i="165"/>
  <c r="Y14" i="165"/>
  <c r="X14" i="165"/>
  <c r="W14" i="165"/>
  <c r="V14" i="165"/>
  <c r="U14" i="165"/>
  <c r="K11" i="165"/>
  <c r="J11" i="165"/>
  <c r="I11" i="165"/>
  <c r="H11" i="165"/>
  <c r="G11" i="165"/>
  <c r="K9" i="165"/>
  <c r="J9" i="165"/>
  <c r="I9" i="165"/>
  <c r="H9" i="165"/>
  <c r="G9" i="165"/>
  <c r="AR20" i="166"/>
  <c r="BN51" i="165" l="1"/>
  <c r="BP60" i="166"/>
  <c r="AQ20" i="165"/>
  <c r="BN59" i="165"/>
  <c r="BP51" i="165"/>
  <c r="BP56" i="165" s="1"/>
  <c r="BP64" i="165" s="1"/>
  <c r="BO51" i="165"/>
  <c r="BO64" i="165" s="1"/>
  <c r="BN57" i="166"/>
  <c r="BO73" i="166"/>
  <c r="BQ73" i="166" s="1"/>
  <c r="BN55" i="165"/>
  <c r="BO75" i="166"/>
  <c r="BQ75" i="166" s="1"/>
  <c r="BN61" i="165"/>
  <c r="BN65" i="166"/>
  <c r="BO57" i="166"/>
  <c r="BO58" i="166" s="1"/>
  <c r="BO76" i="166"/>
  <c r="BQ76" i="166" s="1"/>
  <c r="BN63" i="165"/>
  <c r="BF44" i="166"/>
  <c r="BP57" i="166"/>
  <c r="BP65" i="166" s="1"/>
  <c r="BP58" i="166"/>
  <c r="BP59" i="166"/>
  <c r="BP56" i="166"/>
  <c r="BP64" i="166" s="1"/>
  <c r="BN58" i="166"/>
  <c r="BN56" i="165"/>
  <c r="BN54" i="165"/>
  <c r="BN60" i="165"/>
  <c r="BN50" i="166"/>
  <c r="BN64" i="165"/>
  <c r="BN62" i="165"/>
  <c r="BN52" i="165"/>
  <c r="BO50" i="166"/>
  <c r="BO65" i="166" s="1"/>
  <c r="BO74" i="166"/>
  <c r="BK44" i="166"/>
  <c r="BP53" i="165"/>
  <c r="BP54" i="165" s="1"/>
  <c r="BP62" i="165" s="1"/>
  <c r="BS76" i="165"/>
  <c r="BS75" i="165"/>
  <c r="BP52" i="165"/>
  <c r="BS74" i="165"/>
  <c r="BS73" i="165"/>
  <c r="BP50" i="165"/>
  <c r="BO55" i="165"/>
  <c r="BO60" i="165" s="1"/>
  <c r="BO52" i="165"/>
  <c r="BO63" i="165" s="1"/>
  <c r="BO56" i="165"/>
  <c r="BO59" i="165" s="1"/>
  <c r="BO53" i="165"/>
  <c r="BO62" i="165" s="1"/>
  <c r="BO54" i="165"/>
  <c r="BO61" i="165" s="1"/>
  <c r="BF48" i="166"/>
  <c r="BK48" i="166"/>
  <c r="F10" i="101"/>
  <c r="J11" i="101"/>
  <c r="Q11" i="101"/>
  <c r="Z14" i="165"/>
  <c r="L11" i="165"/>
  <c r="L19" i="165"/>
  <c r="L21" i="165"/>
  <c r="Z16" i="165"/>
  <c r="L9" i="165"/>
  <c r="K81" i="164"/>
  <c r="J81" i="164"/>
  <c r="I81" i="164"/>
  <c r="H81" i="164"/>
  <c r="G81" i="164"/>
  <c r="BF25" i="166"/>
  <c r="BF65" i="166"/>
  <c r="BP59" i="165" l="1"/>
  <c r="BP76" i="166"/>
  <c r="BR73" i="166"/>
  <c r="BP73" i="166"/>
  <c r="BN50" i="165"/>
  <c r="BP75" i="166"/>
  <c r="BR75" i="166"/>
  <c r="BR76" i="166"/>
  <c r="BP61" i="165"/>
  <c r="BN57" i="165"/>
  <c r="BQ74" i="166"/>
  <c r="BR74" i="166"/>
  <c r="BP74" i="166"/>
  <c r="BN58" i="165"/>
  <c r="BN65" i="165"/>
  <c r="BP60" i="165"/>
  <c r="BP55" i="165"/>
  <c r="BP63" i="165" s="1"/>
  <c r="BP58" i="165"/>
  <c r="BP57" i="165"/>
  <c r="BP65" i="165" s="1"/>
  <c r="BO50" i="165"/>
  <c r="BO65" i="165" s="1"/>
  <c r="BO57" i="165"/>
  <c r="BO58" i="165" s="1"/>
  <c r="J10" i="101"/>
  <c r="F9" i="101"/>
  <c r="J46" i="101" s="1"/>
  <c r="Q10" i="101"/>
  <c r="L81" i="164"/>
  <c r="K79" i="164"/>
  <c r="J79" i="164"/>
  <c r="I79" i="164"/>
  <c r="H79" i="164"/>
  <c r="G79" i="164"/>
  <c r="Y76" i="164"/>
  <c r="X76" i="164"/>
  <c r="W76" i="164"/>
  <c r="V76" i="164"/>
  <c r="U76" i="164"/>
  <c r="Y74" i="164"/>
  <c r="X74" i="164"/>
  <c r="W74" i="164"/>
  <c r="V74" i="164"/>
  <c r="U74" i="164"/>
  <c r="K71" i="164"/>
  <c r="J71" i="164"/>
  <c r="I71" i="164"/>
  <c r="H71" i="164"/>
  <c r="G71" i="164"/>
  <c r="K69" i="164"/>
  <c r="J69" i="164"/>
  <c r="I69" i="164"/>
  <c r="H69" i="164"/>
  <c r="G69" i="164"/>
  <c r="BA66" i="164"/>
  <c r="AZ66" i="164"/>
  <c r="AY66" i="164"/>
  <c r="AX66" i="164"/>
  <c r="AW66" i="164"/>
  <c r="AM66" i="164"/>
  <c r="AL66" i="164"/>
  <c r="AK66" i="164"/>
  <c r="AJ66" i="164"/>
  <c r="AI66" i="164"/>
  <c r="BA64" i="164"/>
  <c r="AZ64" i="164"/>
  <c r="AY64" i="164"/>
  <c r="AX64" i="164"/>
  <c r="AW64" i="164"/>
  <c r="AM64" i="164"/>
  <c r="AL64" i="164"/>
  <c r="AK64" i="164"/>
  <c r="AJ64" i="164"/>
  <c r="AI64" i="164"/>
  <c r="K61" i="164"/>
  <c r="J61" i="164"/>
  <c r="I61" i="164"/>
  <c r="H61" i="164"/>
  <c r="G61" i="164"/>
  <c r="K59" i="164"/>
  <c r="J59" i="164"/>
  <c r="I59" i="164"/>
  <c r="H59" i="164"/>
  <c r="G59" i="164"/>
  <c r="Y56" i="164"/>
  <c r="X56" i="164"/>
  <c r="W56" i="164"/>
  <c r="V56" i="164"/>
  <c r="U56" i="164"/>
  <c r="Y54" i="164"/>
  <c r="X54" i="164"/>
  <c r="W54" i="164"/>
  <c r="V54" i="164"/>
  <c r="U54" i="164"/>
  <c r="K51" i="164"/>
  <c r="J51" i="164"/>
  <c r="I51" i="164"/>
  <c r="H51" i="164"/>
  <c r="G51" i="164"/>
  <c r="K49" i="164"/>
  <c r="J49" i="164"/>
  <c r="I49" i="164"/>
  <c r="H49" i="164"/>
  <c r="G49" i="164"/>
  <c r="K41" i="164"/>
  <c r="J41" i="164"/>
  <c r="I41" i="164"/>
  <c r="H41" i="164"/>
  <c r="G41" i="164"/>
  <c r="K39" i="164"/>
  <c r="J39" i="164"/>
  <c r="I39" i="164"/>
  <c r="H39" i="164"/>
  <c r="G39" i="164"/>
  <c r="Y36" i="164"/>
  <c r="X36" i="164"/>
  <c r="W36" i="164"/>
  <c r="V36" i="164"/>
  <c r="U36" i="164"/>
  <c r="Y34" i="164"/>
  <c r="X34" i="164"/>
  <c r="W34" i="164"/>
  <c r="V34" i="164"/>
  <c r="U34" i="164"/>
  <c r="K31" i="164"/>
  <c r="J31" i="164"/>
  <c r="I31" i="164"/>
  <c r="H31" i="164"/>
  <c r="G31" i="164"/>
  <c r="K29" i="164"/>
  <c r="J29" i="164"/>
  <c r="I29" i="164"/>
  <c r="H29" i="164"/>
  <c r="G29" i="164"/>
  <c r="BA26" i="164"/>
  <c r="AZ26" i="164"/>
  <c r="AY26" i="164"/>
  <c r="AX26" i="164"/>
  <c r="AW26" i="164"/>
  <c r="AM26" i="164"/>
  <c r="AL26" i="164"/>
  <c r="AK26" i="164"/>
  <c r="AJ26" i="164"/>
  <c r="AI26" i="164"/>
  <c r="BA24" i="164"/>
  <c r="AZ24" i="164"/>
  <c r="AY24" i="164"/>
  <c r="AX24" i="164"/>
  <c r="AW24" i="164"/>
  <c r="AM24" i="164"/>
  <c r="AL24" i="164"/>
  <c r="AK24" i="164"/>
  <c r="AJ24" i="164"/>
  <c r="AI24" i="164"/>
  <c r="J44" i="101" l="1"/>
  <c r="J45" i="101"/>
  <c r="J42" i="101"/>
  <c r="J43" i="101"/>
  <c r="J40" i="101"/>
  <c r="J41" i="101"/>
  <c r="J38" i="101"/>
  <c r="J39" i="101"/>
  <c r="J37" i="101"/>
  <c r="J35" i="101"/>
  <c r="E9" i="101"/>
  <c r="O9" i="101" s="1"/>
  <c r="J36" i="101"/>
  <c r="J9" i="101"/>
  <c r="J19" i="101" s="1"/>
  <c r="Z34" i="164"/>
  <c r="AN24" i="164"/>
  <c r="Z54" i="164"/>
  <c r="L61" i="164"/>
  <c r="L69" i="164"/>
  <c r="Z76" i="164"/>
  <c r="BB26" i="164"/>
  <c r="AN26" i="164"/>
  <c r="L39" i="164"/>
  <c r="L59" i="164"/>
  <c r="BB64" i="164"/>
  <c r="Z74" i="164"/>
  <c r="L41" i="164"/>
  <c r="L29" i="164"/>
  <c r="L51" i="164"/>
  <c r="BB66" i="164"/>
  <c r="L31" i="164"/>
  <c r="AN64" i="164"/>
  <c r="L79" i="164"/>
  <c r="BN55" i="164" s="1"/>
  <c r="BB24" i="164"/>
  <c r="Z36" i="164"/>
  <c r="L49" i="164"/>
  <c r="Z56" i="164"/>
  <c r="AN66" i="164"/>
  <c r="L71" i="164"/>
  <c r="K21" i="164"/>
  <c r="J21" i="164"/>
  <c r="I21" i="164"/>
  <c r="H21" i="164"/>
  <c r="G21" i="164"/>
  <c r="K19" i="164"/>
  <c r="J19" i="164"/>
  <c r="I19" i="164"/>
  <c r="H19" i="164"/>
  <c r="G19" i="164"/>
  <c r="Y16" i="164"/>
  <c r="X16" i="164"/>
  <c r="W16" i="164"/>
  <c r="V16" i="164"/>
  <c r="U16" i="164"/>
  <c r="Y14" i="164"/>
  <c r="X14" i="164"/>
  <c r="W14" i="164"/>
  <c r="V14" i="164"/>
  <c r="U14" i="164"/>
  <c r="K11" i="164"/>
  <c r="J11" i="164"/>
  <c r="I11" i="164"/>
  <c r="H11" i="164"/>
  <c r="G11" i="164"/>
  <c r="K9" i="164"/>
  <c r="J9" i="164"/>
  <c r="I9" i="164"/>
  <c r="H9" i="164"/>
  <c r="G9" i="164"/>
  <c r="K81" i="163"/>
  <c r="J81" i="163"/>
  <c r="I81" i="163"/>
  <c r="H81" i="163"/>
  <c r="G81" i="163"/>
  <c r="K79" i="163"/>
  <c r="J79" i="163"/>
  <c r="I79" i="163"/>
  <c r="H79" i="163"/>
  <c r="G79" i="163"/>
  <c r="Y76" i="163"/>
  <c r="X76" i="163"/>
  <c r="W76" i="163"/>
  <c r="V76" i="163"/>
  <c r="U76" i="163"/>
  <c r="Y74" i="163"/>
  <c r="X74" i="163"/>
  <c r="W74" i="163"/>
  <c r="V74" i="163"/>
  <c r="U74" i="163"/>
  <c r="K71" i="163"/>
  <c r="J71" i="163"/>
  <c r="I71" i="163"/>
  <c r="H71" i="163"/>
  <c r="G71" i="163"/>
  <c r="K69" i="163"/>
  <c r="J69" i="163"/>
  <c r="I69" i="163"/>
  <c r="H69" i="163"/>
  <c r="G69" i="163"/>
  <c r="BA66" i="163"/>
  <c r="AZ66" i="163"/>
  <c r="AY66" i="163"/>
  <c r="AX66" i="163"/>
  <c r="AW66" i="163"/>
  <c r="AM66" i="163"/>
  <c r="AL66" i="163"/>
  <c r="AK66" i="163"/>
  <c r="AJ66" i="163"/>
  <c r="AI66" i="163"/>
  <c r="BA64" i="163"/>
  <c r="AZ64" i="163"/>
  <c r="AY64" i="163"/>
  <c r="AX64" i="163"/>
  <c r="AW64" i="163"/>
  <c r="AM64" i="163"/>
  <c r="AL64" i="163"/>
  <c r="AK64" i="163"/>
  <c r="AJ64" i="163"/>
  <c r="AI64" i="163"/>
  <c r="K61" i="163"/>
  <c r="J61" i="163"/>
  <c r="I61" i="163"/>
  <c r="H61" i="163"/>
  <c r="G61" i="163"/>
  <c r="K59" i="163"/>
  <c r="J59" i="163"/>
  <c r="I59" i="163"/>
  <c r="H59" i="163"/>
  <c r="G59" i="163"/>
  <c r="Y56" i="163"/>
  <c r="X56" i="163"/>
  <c r="W56" i="163"/>
  <c r="V56" i="163"/>
  <c r="U56" i="163"/>
  <c r="Y54" i="163"/>
  <c r="X54" i="163"/>
  <c r="W54" i="163"/>
  <c r="V54" i="163"/>
  <c r="U54" i="163"/>
  <c r="K51" i="163"/>
  <c r="J51" i="163"/>
  <c r="I51" i="163"/>
  <c r="H51" i="163"/>
  <c r="G51" i="163"/>
  <c r="K49" i="163"/>
  <c r="J49" i="163"/>
  <c r="I49" i="163"/>
  <c r="H49" i="163"/>
  <c r="G49" i="163"/>
  <c r="K41" i="163"/>
  <c r="J41" i="163"/>
  <c r="I41" i="163"/>
  <c r="H41" i="163"/>
  <c r="G41" i="163"/>
  <c r="K39" i="163"/>
  <c r="J39" i="163"/>
  <c r="I39" i="163"/>
  <c r="H39" i="163"/>
  <c r="G39" i="163"/>
  <c r="Y36" i="163"/>
  <c r="X36" i="163"/>
  <c r="W36" i="163"/>
  <c r="V36" i="163"/>
  <c r="U36" i="163"/>
  <c r="Y34" i="163"/>
  <c r="X34" i="163"/>
  <c r="W34" i="163"/>
  <c r="V34" i="163"/>
  <c r="U34" i="163"/>
  <c r="K31" i="163"/>
  <c r="J31" i="163"/>
  <c r="I31" i="163"/>
  <c r="H31" i="163"/>
  <c r="G31" i="163"/>
  <c r="K29" i="163"/>
  <c r="J29" i="163"/>
  <c r="I29" i="163"/>
  <c r="H29" i="163"/>
  <c r="G29" i="163"/>
  <c r="BA26" i="163"/>
  <c r="AZ26" i="163"/>
  <c r="AY26" i="163"/>
  <c r="AX26" i="163"/>
  <c r="AW26" i="163"/>
  <c r="AM26" i="163"/>
  <c r="AL26" i="163"/>
  <c r="AK26" i="163"/>
  <c r="AJ26" i="163"/>
  <c r="AI26" i="163"/>
  <c r="BA24" i="163"/>
  <c r="AZ24" i="163"/>
  <c r="AY24" i="163"/>
  <c r="AX24" i="163"/>
  <c r="AW24" i="163"/>
  <c r="AM24" i="163"/>
  <c r="AL24" i="163"/>
  <c r="AK24" i="163"/>
  <c r="AJ24" i="163"/>
  <c r="AI24" i="163"/>
  <c r="D10" i="101" l="1"/>
  <c r="A16" i="101" s="1"/>
  <c r="J30" i="101"/>
  <c r="J28" i="101"/>
  <c r="J33" i="101"/>
  <c r="J31" i="101"/>
  <c r="J29" i="101"/>
  <c r="J34" i="101"/>
  <c r="J32" i="101"/>
  <c r="J23" i="101"/>
  <c r="J22" i="101"/>
  <c r="J21" i="101"/>
  <c r="J27" i="101"/>
  <c r="J26" i="101"/>
  <c r="J25" i="101"/>
  <c r="J24" i="101"/>
  <c r="J20" i="101"/>
  <c r="AC24" i="163"/>
  <c r="AC26" i="163"/>
  <c r="AQ66" i="163"/>
  <c r="AC66" i="163"/>
  <c r="AC64" i="163"/>
  <c r="AQ64" i="163"/>
  <c r="AQ26" i="163"/>
  <c r="AQ24" i="163"/>
  <c r="J18" i="101"/>
  <c r="BO54" i="164"/>
  <c r="BO61" i="164" s="1"/>
  <c r="BN61" i="164"/>
  <c r="J16" i="101"/>
  <c r="B9" i="173"/>
  <c r="J17" i="101"/>
  <c r="J15" i="101"/>
  <c r="BN56" i="164"/>
  <c r="BN63" i="164"/>
  <c r="BO56" i="164"/>
  <c r="BO59" i="164" s="1"/>
  <c r="BP53" i="164"/>
  <c r="BP54" i="164" s="1"/>
  <c r="BP62" i="164" s="1"/>
  <c r="BN51" i="164"/>
  <c r="BN62" i="164"/>
  <c r="BN64" i="164"/>
  <c r="BN54" i="164"/>
  <c r="BN52" i="164"/>
  <c r="BN60" i="164"/>
  <c r="BN53" i="164"/>
  <c r="BO55" i="164"/>
  <c r="BO60" i="164" s="1"/>
  <c r="BN59" i="164"/>
  <c r="BO52" i="164"/>
  <c r="BO63" i="164" s="1"/>
  <c r="BO51" i="164"/>
  <c r="BO64" i="164" s="1"/>
  <c r="BP51" i="164"/>
  <c r="BP56" i="164" s="1"/>
  <c r="BP64" i="164" s="1"/>
  <c r="BO53" i="164"/>
  <c r="BO62" i="164" s="1"/>
  <c r="BS76" i="164"/>
  <c r="BS75" i="164"/>
  <c r="BS74" i="164"/>
  <c r="BS73" i="164"/>
  <c r="BP52" i="164"/>
  <c r="BP50" i="164"/>
  <c r="L59" i="163"/>
  <c r="L9" i="164"/>
  <c r="Z34" i="163"/>
  <c r="L31" i="163"/>
  <c r="BB64" i="163"/>
  <c r="L69" i="163"/>
  <c r="L81" i="163"/>
  <c r="Z16" i="164"/>
  <c r="AN26" i="163"/>
  <c r="L39" i="163"/>
  <c r="BB66" i="163"/>
  <c r="Z74" i="163"/>
  <c r="L29" i="163"/>
  <c r="L51" i="163"/>
  <c r="Z14" i="164"/>
  <c r="AN24" i="163"/>
  <c r="L71" i="163"/>
  <c r="L21" i="164"/>
  <c r="BB24" i="163"/>
  <c r="AN64" i="163"/>
  <c r="L79" i="163"/>
  <c r="Z56" i="163"/>
  <c r="L19" i="164"/>
  <c r="Z36" i="163"/>
  <c r="BB26" i="163"/>
  <c r="L41" i="163"/>
  <c r="BN61" i="163" s="1"/>
  <c r="L49" i="163"/>
  <c r="BN51" i="163" s="1"/>
  <c r="AN66" i="163"/>
  <c r="BP52" i="163" s="1"/>
  <c r="Z76" i="163"/>
  <c r="Z54" i="163"/>
  <c r="BO51" i="163" s="1"/>
  <c r="BO64" i="163" s="1"/>
  <c r="L61" i="163"/>
  <c r="L11" i="164"/>
  <c r="K21" i="163"/>
  <c r="J21" i="163"/>
  <c r="I21" i="163"/>
  <c r="H21" i="163"/>
  <c r="G21" i="163"/>
  <c r="K19" i="163"/>
  <c r="J19" i="163"/>
  <c r="I19" i="163"/>
  <c r="H19" i="163"/>
  <c r="G19" i="163"/>
  <c r="Y16" i="163"/>
  <c r="X16" i="163"/>
  <c r="W16" i="163"/>
  <c r="V16" i="163"/>
  <c r="U16" i="163"/>
  <c r="Y14" i="163"/>
  <c r="X14" i="163"/>
  <c r="W14" i="163"/>
  <c r="V14" i="163"/>
  <c r="U14" i="163"/>
  <c r="K11" i="163"/>
  <c r="J11" i="163"/>
  <c r="I11" i="163"/>
  <c r="H11" i="163"/>
  <c r="G11" i="163"/>
  <c r="K9" i="163"/>
  <c r="J9" i="163"/>
  <c r="I9" i="163"/>
  <c r="H9" i="163"/>
  <c r="G9" i="163"/>
  <c r="N28" i="101"/>
  <c r="R28" i="101"/>
  <c r="N29" i="101"/>
  <c r="R29" i="101"/>
  <c r="N30" i="101"/>
  <c r="R30" i="101"/>
  <c r="N31" i="101"/>
  <c r="R31" i="101"/>
  <c r="N32" i="101"/>
  <c r="R32" i="101"/>
  <c r="N33" i="101"/>
  <c r="R33" i="101"/>
  <c r="N34" i="101"/>
  <c r="R34" i="101"/>
  <c r="N35" i="101"/>
  <c r="R35" i="101"/>
  <c r="N36" i="101"/>
  <c r="R36" i="101"/>
  <c r="N37" i="101"/>
  <c r="R37" i="101"/>
  <c r="N38" i="101"/>
  <c r="R38" i="101"/>
  <c r="N39" i="101"/>
  <c r="R39" i="101"/>
  <c r="N40" i="101"/>
  <c r="R40" i="101"/>
  <c r="N41" i="101"/>
  <c r="R41" i="101"/>
  <c r="N42" i="101"/>
  <c r="R42" i="101"/>
  <c r="N43" i="101"/>
  <c r="R43" i="101"/>
  <c r="N44" i="101"/>
  <c r="R44" i="101"/>
  <c r="N45" i="101"/>
  <c r="R45" i="101"/>
  <c r="N46" i="101"/>
  <c r="R46" i="101"/>
  <c r="K47" i="101"/>
  <c r="N47" i="101"/>
  <c r="O47" i="101"/>
  <c r="Q47" i="101"/>
  <c r="R47" i="101"/>
  <c r="S47" i="101"/>
  <c r="T47" i="101"/>
  <c r="U47" i="101"/>
  <c r="K48" i="101"/>
  <c r="N48" i="101"/>
  <c r="O48" i="101"/>
  <c r="Q48" i="101"/>
  <c r="R48" i="101"/>
  <c r="S48" i="101"/>
  <c r="T48" i="101"/>
  <c r="U48" i="101"/>
  <c r="K49" i="101"/>
  <c r="N49" i="101"/>
  <c r="O49" i="101"/>
  <c r="Q49" i="101"/>
  <c r="R49" i="101"/>
  <c r="S49" i="101"/>
  <c r="T49" i="101"/>
  <c r="U49" i="101"/>
  <c r="K50" i="101"/>
  <c r="N50" i="101"/>
  <c r="O50" i="101"/>
  <c r="Q50" i="101"/>
  <c r="R50" i="101"/>
  <c r="S50" i="101"/>
  <c r="T50" i="101"/>
  <c r="U50" i="101"/>
  <c r="K51" i="101"/>
  <c r="N51" i="101"/>
  <c r="O51" i="101"/>
  <c r="Q51" i="101"/>
  <c r="R51" i="101"/>
  <c r="S51" i="101"/>
  <c r="T51" i="101"/>
  <c r="U51" i="101"/>
  <c r="K52" i="101"/>
  <c r="N52" i="101"/>
  <c r="O52" i="101"/>
  <c r="Q52" i="101"/>
  <c r="R52" i="101"/>
  <c r="S52" i="101"/>
  <c r="T52" i="101"/>
  <c r="U52" i="101"/>
  <c r="K53" i="101"/>
  <c r="N53" i="101"/>
  <c r="O53" i="101"/>
  <c r="Q53" i="101"/>
  <c r="R53" i="101"/>
  <c r="S53" i="101"/>
  <c r="T53" i="101"/>
  <c r="U53" i="101"/>
  <c r="K54" i="101"/>
  <c r="N54" i="101"/>
  <c r="O54" i="101"/>
  <c r="Q54" i="101"/>
  <c r="R54" i="101"/>
  <c r="S54" i="101"/>
  <c r="T54" i="101"/>
  <c r="U54" i="101"/>
  <c r="K55" i="101"/>
  <c r="N55" i="101"/>
  <c r="O55" i="101"/>
  <c r="Q55" i="101"/>
  <c r="R55" i="101"/>
  <c r="S55" i="101"/>
  <c r="T55" i="101"/>
  <c r="U55" i="101"/>
  <c r="K56" i="101"/>
  <c r="N56" i="101"/>
  <c r="O56" i="101"/>
  <c r="Q56" i="101"/>
  <c r="R56" i="101"/>
  <c r="S56" i="101"/>
  <c r="T56" i="101"/>
  <c r="U56" i="101"/>
  <c r="K57" i="101"/>
  <c r="N57" i="101"/>
  <c r="O57" i="101"/>
  <c r="Q57" i="101"/>
  <c r="R57" i="101"/>
  <c r="S57" i="101"/>
  <c r="T57" i="101"/>
  <c r="U57" i="101"/>
  <c r="K58" i="101"/>
  <c r="N58" i="101"/>
  <c r="O58" i="101"/>
  <c r="Q58" i="101"/>
  <c r="R58" i="101"/>
  <c r="S58" i="101"/>
  <c r="T58" i="101"/>
  <c r="U58" i="101"/>
  <c r="K59" i="101"/>
  <c r="N59" i="101"/>
  <c r="O59" i="101"/>
  <c r="Q59" i="101"/>
  <c r="R59" i="101"/>
  <c r="S59" i="101"/>
  <c r="T59" i="101"/>
  <c r="U59" i="101"/>
  <c r="K60" i="101"/>
  <c r="N60" i="101"/>
  <c r="O60" i="101"/>
  <c r="Q60" i="101"/>
  <c r="R60" i="101"/>
  <c r="S60" i="101"/>
  <c r="T60" i="101"/>
  <c r="U60" i="101"/>
  <c r="K61" i="101"/>
  <c r="N61" i="101"/>
  <c r="O61" i="101"/>
  <c r="Q61" i="101"/>
  <c r="R61" i="101"/>
  <c r="S61" i="101"/>
  <c r="T61" i="101"/>
  <c r="U61" i="101"/>
  <c r="K62" i="101"/>
  <c r="N62" i="101"/>
  <c r="O62" i="101"/>
  <c r="Q62" i="101"/>
  <c r="R62" i="101"/>
  <c r="S62" i="101"/>
  <c r="T62" i="101"/>
  <c r="U62" i="101"/>
  <c r="K63" i="101"/>
  <c r="N63" i="101"/>
  <c r="O63" i="101"/>
  <c r="Q63" i="101"/>
  <c r="R63" i="101"/>
  <c r="S63" i="101"/>
  <c r="T63" i="101"/>
  <c r="U63" i="101"/>
  <c r="K64" i="101"/>
  <c r="N64" i="101"/>
  <c r="O64" i="101"/>
  <c r="Q64" i="101"/>
  <c r="R64" i="101"/>
  <c r="S64" i="101"/>
  <c r="T64" i="101"/>
  <c r="U64" i="101"/>
  <c r="K65" i="101"/>
  <c r="N65" i="101"/>
  <c r="O65" i="101"/>
  <c r="Q65" i="101"/>
  <c r="R65" i="101"/>
  <c r="S65" i="101"/>
  <c r="T65" i="101"/>
  <c r="U65" i="101"/>
  <c r="K66" i="101"/>
  <c r="N66" i="101"/>
  <c r="O66" i="101"/>
  <c r="Q66" i="101"/>
  <c r="R66" i="101"/>
  <c r="S66" i="101"/>
  <c r="T66" i="101"/>
  <c r="U66" i="101"/>
  <c r="K67" i="101"/>
  <c r="N67" i="101"/>
  <c r="O67" i="101"/>
  <c r="Q67" i="101"/>
  <c r="R67" i="101"/>
  <c r="S67" i="101"/>
  <c r="T67" i="101"/>
  <c r="U67" i="101"/>
  <c r="K68" i="101"/>
  <c r="N68" i="101"/>
  <c r="O68" i="101"/>
  <c r="Q68" i="101"/>
  <c r="R68" i="101"/>
  <c r="S68" i="101"/>
  <c r="T68" i="101"/>
  <c r="U68" i="101"/>
  <c r="K69" i="101"/>
  <c r="N69" i="101"/>
  <c r="O69" i="101"/>
  <c r="Q69" i="101"/>
  <c r="R69" i="101"/>
  <c r="S69" i="101"/>
  <c r="T69" i="101"/>
  <c r="U69" i="101"/>
  <c r="K70" i="101"/>
  <c r="N70" i="101"/>
  <c r="O70" i="101"/>
  <c r="Q70" i="101"/>
  <c r="R70" i="101"/>
  <c r="S70" i="101"/>
  <c r="T70" i="101"/>
  <c r="U70" i="101"/>
  <c r="K71" i="101"/>
  <c r="N71" i="101"/>
  <c r="O71" i="101"/>
  <c r="Q71" i="101"/>
  <c r="R71" i="101"/>
  <c r="S71" i="101"/>
  <c r="T71" i="101"/>
  <c r="U71" i="101"/>
  <c r="K72" i="101"/>
  <c r="N72" i="101"/>
  <c r="O72" i="101"/>
  <c r="Q72" i="101"/>
  <c r="R72" i="101"/>
  <c r="S72" i="101"/>
  <c r="T72" i="101"/>
  <c r="U72" i="101"/>
  <c r="K73" i="101"/>
  <c r="N73" i="101"/>
  <c r="O73" i="101"/>
  <c r="Q73" i="101"/>
  <c r="R73" i="101"/>
  <c r="S73" i="101"/>
  <c r="T73" i="101"/>
  <c r="U73" i="101"/>
  <c r="K74" i="101"/>
  <c r="N74" i="101"/>
  <c r="O74" i="101"/>
  <c r="Q74" i="101"/>
  <c r="R74" i="101"/>
  <c r="S74" i="101"/>
  <c r="T74" i="101"/>
  <c r="U74" i="101"/>
  <c r="K75" i="101"/>
  <c r="N75" i="101"/>
  <c r="O75" i="101"/>
  <c r="Q75" i="101"/>
  <c r="R75" i="101"/>
  <c r="S75" i="101"/>
  <c r="T75" i="101"/>
  <c r="U75" i="101"/>
  <c r="K76" i="101"/>
  <c r="N76" i="101"/>
  <c r="O76" i="101"/>
  <c r="Q76" i="101"/>
  <c r="R76" i="101"/>
  <c r="S76" i="101"/>
  <c r="T76" i="101"/>
  <c r="U76" i="101"/>
  <c r="K77" i="101"/>
  <c r="N77" i="101"/>
  <c r="O77" i="101"/>
  <c r="Q77" i="101"/>
  <c r="R77" i="101"/>
  <c r="S77" i="101"/>
  <c r="T77" i="101"/>
  <c r="U77" i="101"/>
  <c r="K78" i="101"/>
  <c r="N78" i="101"/>
  <c r="O78" i="101"/>
  <c r="Q78" i="101"/>
  <c r="R78" i="101"/>
  <c r="S78" i="101"/>
  <c r="T78" i="101"/>
  <c r="U78" i="101"/>
  <c r="K79" i="101"/>
  <c r="N79" i="101"/>
  <c r="O79" i="101"/>
  <c r="Q79" i="101"/>
  <c r="R79" i="101"/>
  <c r="S79" i="101"/>
  <c r="T79" i="101"/>
  <c r="U79" i="101"/>
  <c r="K80" i="101"/>
  <c r="N80" i="101"/>
  <c r="O80" i="101"/>
  <c r="Q80" i="101"/>
  <c r="R80" i="101"/>
  <c r="S80" i="101"/>
  <c r="T80" i="101"/>
  <c r="U80" i="101"/>
  <c r="K81" i="101"/>
  <c r="N81" i="101"/>
  <c r="O81" i="101"/>
  <c r="Q81" i="101"/>
  <c r="R81" i="101"/>
  <c r="S81" i="101"/>
  <c r="T81" i="101"/>
  <c r="U81" i="101"/>
  <c r="K82" i="101"/>
  <c r="N82" i="101"/>
  <c r="O82" i="101"/>
  <c r="Q82" i="101"/>
  <c r="R82" i="101"/>
  <c r="S82" i="101"/>
  <c r="T82" i="101"/>
  <c r="U82" i="101"/>
  <c r="K83" i="101"/>
  <c r="N83" i="101"/>
  <c r="O83" i="101"/>
  <c r="Q83" i="101"/>
  <c r="R83" i="101"/>
  <c r="S83" i="101"/>
  <c r="T83" i="101"/>
  <c r="U83" i="101"/>
  <c r="K84" i="101"/>
  <c r="N84" i="101"/>
  <c r="O84" i="101"/>
  <c r="Q84" i="101"/>
  <c r="R84" i="101"/>
  <c r="S84" i="101"/>
  <c r="T84" i="101"/>
  <c r="U84" i="101"/>
  <c r="K85" i="101"/>
  <c r="N85" i="101"/>
  <c r="O85" i="101"/>
  <c r="Q85" i="101"/>
  <c r="R85" i="101"/>
  <c r="S85" i="101"/>
  <c r="T85" i="101"/>
  <c r="U85" i="101"/>
  <c r="K86" i="101"/>
  <c r="N86" i="101"/>
  <c r="O86" i="101"/>
  <c r="Q86" i="101"/>
  <c r="R86" i="101"/>
  <c r="S86" i="101"/>
  <c r="T86" i="101"/>
  <c r="U86" i="101"/>
  <c r="K87" i="101"/>
  <c r="N87" i="101"/>
  <c r="O87" i="101"/>
  <c r="Q87" i="101"/>
  <c r="R87" i="101"/>
  <c r="S87" i="101"/>
  <c r="T87" i="101"/>
  <c r="U87" i="101"/>
  <c r="K88" i="101"/>
  <c r="N88" i="101"/>
  <c r="O88" i="101"/>
  <c r="Q88" i="101"/>
  <c r="R88" i="101"/>
  <c r="S88" i="101"/>
  <c r="T88" i="101"/>
  <c r="U88" i="101"/>
  <c r="K89" i="101"/>
  <c r="N89" i="101"/>
  <c r="O89" i="101"/>
  <c r="Q89" i="101"/>
  <c r="R89" i="101"/>
  <c r="S89" i="101"/>
  <c r="T89" i="101"/>
  <c r="U89" i="101"/>
  <c r="K90" i="101"/>
  <c r="N90" i="101"/>
  <c r="O90" i="101"/>
  <c r="Q90" i="101"/>
  <c r="R90" i="101"/>
  <c r="S90" i="101"/>
  <c r="T90" i="101"/>
  <c r="U90" i="101"/>
  <c r="K91" i="101"/>
  <c r="N91" i="101"/>
  <c r="O91" i="101"/>
  <c r="Q91" i="101"/>
  <c r="R91" i="101"/>
  <c r="S91" i="101"/>
  <c r="T91" i="101"/>
  <c r="U91" i="101"/>
  <c r="K92" i="101"/>
  <c r="N92" i="101"/>
  <c r="O92" i="101"/>
  <c r="Q92" i="101"/>
  <c r="R92" i="101"/>
  <c r="S92" i="101"/>
  <c r="T92" i="101"/>
  <c r="U92" i="101"/>
  <c r="K93" i="101"/>
  <c r="N93" i="101"/>
  <c r="O93" i="101"/>
  <c r="Q93" i="101"/>
  <c r="R93" i="101"/>
  <c r="S93" i="101"/>
  <c r="T93" i="101"/>
  <c r="U93" i="101"/>
  <c r="K94" i="101"/>
  <c r="N94" i="101"/>
  <c r="O94" i="101"/>
  <c r="Q94" i="101"/>
  <c r="R94" i="101"/>
  <c r="S94" i="101"/>
  <c r="T94" i="101"/>
  <c r="U94" i="101"/>
  <c r="K95" i="101"/>
  <c r="N95" i="101"/>
  <c r="O95" i="101"/>
  <c r="Q95" i="101"/>
  <c r="R95" i="101"/>
  <c r="S95" i="101"/>
  <c r="T95" i="101"/>
  <c r="U95" i="101"/>
  <c r="K96" i="101"/>
  <c r="N96" i="101"/>
  <c r="O96" i="101"/>
  <c r="Q96" i="101"/>
  <c r="R96" i="101"/>
  <c r="S96" i="101"/>
  <c r="T96" i="101"/>
  <c r="U96" i="101"/>
  <c r="K97" i="101"/>
  <c r="N97" i="101"/>
  <c r="O97" i="101"/>
  <c r="Q97" i="101"/>
  <c r="R97" i="101"/>
  <c r="S97" i="101"/>
  <c r="T97" i="101"/>
  <c r="U97" i="101"/>
  <c r="K98" i="101"/>
  <c r="N98" i="101"/>
  <c r="O98" i="101"/>
  <c r="Q98" i="101"/>
  <c r="R98" i="101"/>
  <c r="S98" i="101"/>
  <c r="T98" i="101"/>
  <c r="U98" i="101"/>
  <c r="K99" i="101"/>
  <c r="N99" i="101"/>
  <c r="O99" i="101"/>
  <c r="Q99" i="101"/>
  <c r="R99" i="101"/>
  <c r="S99" i="101"/>
  <c r="T99" i="101"/>
  <c r="U99" i="101"/>
  <c r="K100" i="101"/>
  <c r="N100" i="101"/>
  <c r="O100" i="101"/>
  <c r="Q100" i="101"/>
  <c r="R100" i="101"/>
  <c r="S100" i="101"/>
  <c r="T100" i="101"/>
  <c r="U100" i="101"/>
  <c r="K101" i="101"/>
  <c r="N101" i="101"/>
  <c r="O101" i="101"/>
  <c r="Q101" i="101"/>
  <c r="R101" i="101"/>
  <c r="S101" i="101"/>
  <c r="T101" i="101"/>
  <c r="U101" i="101"/>
  <c r="K102" i="101"/>
  <c r="N102" i="101"/>
  <c r="O102" i="101"/>
  <c r="Q102" i="101"/>
  <c r="R102" i="101"/>
  <c r="S102" i="101"/>
  <c r="T102" i="101"/>
  <c r="U102" i="101"/>
  <c r="K103" i="101"/>
  <c r="N103" i="101"/>
  <c r="O103" i="101"/>
  <c r="Q103" i="101"/>
  <c r="R103" i="101"/>
  <c r="S103" i="101"/>
  <c r="T103" i="101"/>
  <c r="U103" i="101"/>
  <c r="K104" i="101"/>
  <c r="N104" i="101"/>
  <c r="O104" i="101"/>
  <c r="Q104" i="101"/>
  <c r="R104" i="101"/>
  <c r="S104" i="101"/>
  <c r="T104" i="101"/>
  <c r="U104" i="101"/>
  <c r="K105" i="101"/>
  <c r="N105" i="101"/>
  <c r="O105" i="101"/>
  <c r="Q105" i="101"/>
  <c r="R105" i="101"/>
  <c r="S105" i="101"/>
  <c r="T105" i="101"/>
  <c r="U105" i="101"/>
  <c r="K106" i="101"/>
  <c r="N106" i="101"/>
  <c r="O106" i="101"/>
  <c r="Q106" i="101"/>
  <c r="R106" i="101"/>
  <c r="S106" i="101"/>
  <c r="T106" i="101"/>
  <c r="U106" i="101"/>
  <c r="K107" i="101"/>
  <c r="N107" i="101"/>
  <c r="O107" i="101"/>
  <c r="Q107" i="101"/>
  <c r="R107" i="101"/>
  <c r="S107" i="101"/>
  <c r="T107" i="101"/>
  <c r="U107" i="101"/>
  <c r="K108" i="101"/>
  <c r="N108" i="101"/>
  <c r="O108" i="101"/>
  <c r="Q108" i="101"/>
  <c r="R108" i="101"/>
  <c r="S108" i="101"/>
  <c r="T108" i="101"/>
  <c r="U108" i="101"/>
  <c r="K109" i="101"/>
  <c r="N109" i="101"/>
  <c r="O109" i="101"/>
  <c r="Q109" i="101"/>
  <c r="R109" i="101"/>
  <c r="S109" i="101"/>
  <c r="T109" i="101"/>
  <c r="U109" i="101"/>
  <c r="K110" i="101"/>
  <c r="N110" i="101"/>
  <c r="O110" i="101"/>
  <c r="Q110" i="101"/>
  <c r="R110" i="101"/>
  <c r="S110" i="101"/>
  <c r="T110" i="101"/>
  <c r="U110" i="101"/>
  <c r="K111" i="101"/>
  <c r="N111" i="101"/>
  <c r="O111" i="101"/>
  <c r="Q111" i="101"/>
  <c r="R111" i="101"/>
  <c r="S111" i="101"/>
  <c r="T111" i="101"/>
  <c r="U111" i="101"/>
  <c r="K112" i="101"/>
  <c r="N112" i="101"/>
  <c r="O112" i="101"/>
  <c r="Q112" i="101"/>
  <c r="R112" i="101"/>
  <c r="S112" i="101"/>
  <c r="T112" i="101"/>
  <c r="U112" i="101"/>
  <c r="K113" i="101"/>
  <c r="N113" i="101"/>
  <c r="O113" i="101"/>
  <c r="Q113" i="101"/>
  <c r="R113" i="101"/>
  <c r="S113" i="101"/>
  <c r="T113" i="101"/>
  <c r="U113" i="101"/>
  <c r="K114" i="101"/>
  <c r="N114" i="101"/>
  <c r="O114" i="101"/>
  <c r="Q114" i="101"/>
  <c r="R114" i="101"/>
  <c r="S114" i="101"/>
  <c r="T114" i="101"/>
  <c r="U114" i="101"/>
  <c r="K115" i="101"/>
  <c r="N115" i="101"/>
  <c r="O115" i="101"/>
  <c r="Q115" i="101"/>
  <c r="R115" i="101"/>
  <c r="S115" i="101"/>
  <c r="T115" i="101"/>
  <c r="U115" i="101"/>
  <c r="K116" i="101"/>
  <c r="N116" i="101"/>
  <c r="O116" i="101"/>
  <c r="Q116" i="101"/>
  <c r="R116" i="101"/>
  <c r="S116" i="101"/>
  <c r="T116" i="101"/>
  <c r="U116" i="101"/>
  <c r="K117" i="101"/>
  <c r="N117" i="101"/>
  <c r="O117" i="101"/>
  <c r="Q117" i="101"/>
  <c r="R117" i="101"/>
  <c r="S117" i="101"/>
  <c r="T117" i="101"/>
  <c r="U117" i="101"/>
  <c r="K118" i="101"/>
  <c r="N118" i="101"/>
  <c r="O118" i="101"/>
  <c r="Q118" i="101"/>
  <c r="R118" i="101"/>
  <c r="S118" i="101"/>
  <c r="T118" i="101"/>
  <c r="U118" i="101"/>
  <c r="K119" i="101"/>
  <c r="N119" i="101"/>
  <c r="O119" i="101"/>
  <c r="Q119" i="101"/>
  <c r="R119" i="101"/>
  <c r="S119" i="101"/>
  <c r="T119" i="101"/>
  <c r="U119" i="101"/>
  <c r="K120" i="101"/>
  <c r="N120" i="101"/>
  <c r="O120" i="101"/>
  <c r="Q120" i="101"/>
  <c r="R120" i="101"/>
  <c r="S120" i="101"/>
  <c r="T120" i="101"/>
  <c r="U120" i="101"/>
  <c r="R20" i="101"/>
  <c r="R21" i="101"/>
  <c r="R22" i="101"/>
  <c r="R23" i="101"/>
  <c r="R24" i="101"/>
  <c r="R25" i="101"/>
  <c r="R26" i="101"/>
  <c r="R27" i="101"/>
  <c r="N20" i="101"/>
  <c r="N21" i="101"/>
  <c r="F10" i="171"/>
  <c r="N22" i="101"/>
  <c r="N23" i="101"/>
  <c r="N24" i="101"/>
  <c r="N25" i="101"/>
  <c r="N26" i="101"/>
  <c r="N27" i="101"/>
  <c r="AU42" i="140"/>
  <c r="V6" i="101" s="1"/>
  <c r="Y6" i="173" s="1"/>
  <c r="AQ42" i="140"/>
  <c r="R6" i="101" s="1"/>
  <c r="U6" i="173" s="1"/>
  <c r="AM42" i="140"/>
  <c r="N6" i="101" s="1"/>
  <c r="Q6" i="173" s="1"/>
  <c r="L6" i="101"/>
  <c r="O6" i="173" s="1"/>
  <c r="M6" i="101"/>
  <c r="P6" i="173" s="1"/>
  <c r="O6" i="101"/>
  <c r="R6" i="173" s="1"/>
  <c r="P6" i="101"/>
  <c r="Q6" i="101"/>
  <c r="T6" i="173" s="1"/>
  <c r="S6" i="101"/>
  <c r="V6" i="173" s="1"/>
  <c r="T6" i="101"/>
  <c r="W6" i="173" s="1"/>
  <c r="U6" i="101"/>
  <c r="X6" i="173" s="1"/>
  <c r="W6" i="101"/>
  <c r="Z6" i="173" s="1"/>
  <c r="X6" i="101"/>
  <c r="AA6" i="173" s="1"/>
  <c r="N6" i="100"/>
  <c r="L6" i="100"/>
  <c r="A3" i="100"/>
  <c r="A3" i="168" s="1"/>
  <c r="A3" i="101"/>
  <c r="A3" i="163" s="1"/>
  <c r="A2" i="100"/>
  <c r="A2" i="168" s="1"/>
  <c r="A2" i="101"/>
  <c r="A2" i="163" s="1"/>
  <c r="A1" i="100"/>
  <c r="A1" i="168" s="1"/>
  <c r="A1" i="101"/>
  <c r="A1" i="163" s="1"/>
  <c r="AN35" i="140"/>
  <c r="AQ13" i="140" s="1"/>
  <c r="AO35" i="140"/>
  <c r="AQ14" i="140" s="1"/>
  <c r="AL35" i="140"/>
  <c r="AQ11" i="140" s="1"/>
  <c r="AJ35" i="140"/>
  <c r="AQ9" i="140" s="1"/>
  <c r="X69" i="140"/>
  <c r="Y69" i="140"/>
  <c r="Y76" i="140"/>
  <c r="Y77" i="140"/>
  <c r="X37" i="140"/>
  <c r="Y37" i="140"/>
  <c r="Y44" i="140"/>
  <c r="Y45" i="140"/>
  <c r="E10" i="101" l="1"/>
  <c r="O10" i="101" s="1"/>
  <c r="W15" i="101"/>
  <c r="S6" i="173"/>
  <c r="A17" i="101"/>
  <c r="W16" i="101"/>
  <c r="BP61" i="164"/>
  <c r="BO55" i="163"/>
  <c r="BO60" i="163" s="1"/>
  <c r="BN55" i="163"/>
  <c r="BN53" i="163"/>
  <c r="BP59" i="164"/>
  <c r="C9" i="173"/>
  <c r="D9" i="173" s="1"/>
  <c r="J9" i="173"/>
  <c r="BN63" i="163"/>
  <c r="BN65" i="164"/>
  <c r="BN59" i="163"/>
  <c r="BO54" i="163"/>
  <c r="BO61" i="163" s="1"/>
  <c r="BP50" i="163"/>
  <c r="BP58" i="163" s="1"/>
  <c r="BP60" i="163"/>
  <c r="BP55" i="163"/>
  <c r="BP63" i="163" s="1"/>
  <c r="BO56" i="163"/>
  <c r="BO59" i="163" s="1"/>
  <c r="BP51" i="163"/>
  <c r="BN64" i="163"/>
  <c r="BO52" i="163"/>
  <c r="BO63" i="163" s="1"/>
  <c r="BN54" i="163"/>
  <c r="BO57" i="164"/>
  <c r="BO58" i="164" s="1"/>
  <c r="BN52" i="163"/>
  <c r="BN62" i="163"/>
  <c r="BN50" i="164"/>
  <c r="BS74" i="163"/>
  <c r="BS73" i="163"/>
  <c r="BS76" i="163"/>
  <c r="BS75" i="163"/>
  <c r="BP53" i="163"/>
  <c r="BN60" i="163"/>
  <c r="BO53" i="163"/>
  <c r="BO62" i="163" s="1"/>
  <c r="BN56" i="163"/>
  <c r="BN58" i="164"/>
  <c r="BO50" i="164"/>
  <c r="BO65" i="164" s="1"/>
  <c r="BP55" i="164"/>
  <c r="BP63" i="164" s="1"/>
  <c r="BP60" i="164"/>
  <c r="BP58" i="164"/>
  <c r="BP57" i="164"/>
  <c r="BP65" i="164" s="1"/>
  <c r="BN57" i="164"/>
  <c r="L21" i="163"/>
  <c r="Z14" i="163"/>
  <c r="L11" i="163"/>
  <c r="L19" i="163"/>
  <c r="Z16" i="163"/>
  <c r="L9" i="163"/>
  <c r="AA6" i="100"/>
  <c r="AA6" i="168"/>
  <c r="Y6" i="100"/>
  <c r="Y6" i="168"/>
  <c r="W6" i="100"/>
  <c r="W6" i="168"/>
  <c r="U6" i="100"/>
  <c r="U6" i="168"/>
  <c r="S6" i="100"/>
  <c r="S6" i="168"/>
  <c r="Q6" i="100"/>
  <c r="Q6" i="168"/>
  <c r="O6" i="100"/>
  <c r="O6" i="168"/>
  <c r="Z6" i="100"/>
  <c r="Z6" i="168"/>
  <c r="X6" i="100"/>
  <c r="X6" i="168"/>
  <c r="V6" i="100"/>
  <c r="V6" i="168"/>
  <c r="T6" i="100"/>
  <c r="T6" i="168"/>
  <c r="R6" i="100"/>
  <c r="R6" i="168"/>
  <c r="P6" i="100"/>
  <c r="P6" i="168"/>
  <c r="A2" i="167"/>
  <c r="A2" i="166"/>
  <c r="A2" i="165"/>
  <c r="A2" i="164"/>
  <c r="A1" i="167"/>
  <c r="A1" i="166"/>
  <c r="A1" i="165"/>
  <c r="A1" i="164"/>
  <c r="A3" i="167"/>
  <c r="A3" i="166"/>
  <c r="A3" i="165"/>
  <c r="A3" i="164"/>
  <c r="I118" i="101"/>
  <c r="I108" i="101"/>
  <c r="I98" i="101"/>
  <c r="I88" i="101"/>
  <c r="I78" i="101"/>
  <c r="I68" i="101"/>
  <c r="I48" i="101"/>
  <c r="I43" i="101"/>
  <c r="I38" i="101"/>
  <c r="I113" i="101"/>
  <c r="I103" i="101"/>
  <c r="I93" i="101"/>
  <c r="I83" i="101"/>
  <c r="I73" i="101"/>
  <c r="I63" i="101"/>
  <c r="I58" i="101"/>
  <c r="I53" i="101"/>
  <c r="A1" i="130"/>
  <c r="A3" i="130"/>
  <c r="A2" i="130"/>
  <c r="X52" i="140"/>
  <c r="Y52" i="140"/>
  <c r="X53" i="140"/>
  <c r="Y53" i="140"/>
  <c r="Y60" i="140"/>
  <c r="Y61" i="140"/>
  <c r="A18" i="101" l="1"/>
  <c r="W17" i="101"/>
  <c r="BN50" i="163"/>
  <c r="M9" i="173"/>
  <c r="AB9" i="173"/>
  <c r="P9" i="173"/>
  <c r="T9" i="173"/>
  <c r="V9" i="173"/>
  <c r="X9" i="173"/>
  <c r="W9" i="173"/>
  <c r="U9" i="173"/>
  <c r="Q9" i="173"/>
  <c r="K9" i="173"/>
  <c r="R9" i="173"/>
  <c r="Y9" i="173"/>
  <c r="Z9" i="173"/>
  <c r="N9" i="173"/>
  <c r="S9" i="173"/>
  <c r="O9" i="173"/>
  <c r="AA9" i="173"/>
  <c r="L9" i="173"/>
  <c r="BN57" i="163"/>
  <c r="BP57" i="163"/>
  <c r="BP65" i="163" s="1"/>
  <c r="BO57" i="163"/>
  <c r="BO58" i="163" s="1"/>
  <c r="BP61" i="163"/>
  <c r="BP54" i="163"/>
  <c r="BP62" i="163" s="1"/>
  <c r="BN58" i="163"/>
  <c r="BP59" i="163"/>
  <c r="BP56" i="163"/>
  <c r="BP64" i="163" s="1"/>
  <c r="BN65" i="163"/>
  <c r="BO50" i="163"/>
  <c r="BO65" i="163" s="1"/>
  <c r="I51" i="101"/>
  <c r="I66" i="101"/>
  <c r="I81" i="101"/>
  <c r="I101" i="101"/>
  <c r="I41" i="101"/>
  <c r="I46" i="101"/>
  <c r="I76" i="101"/>
  <c r="I96" i="101"/>
  <c r="I116" i="101"/>
  <c r="I71" i="101"/>
  <c r="I91" i="101"/>
  <c r="I111" i="101"/>
  <c r="I36" i="101"/>
  <c r="I56" i="101"/>
  <c r="I61" i="101"/>
  <c r="I86" i="101"/>
  <c r="I106" i="101"/>
  <c r="X84" i="140"/>
  <c r="Y84" i="140"/>
  <c r="X85" i="140"/>
  <c r="Y85" i="140"/>
  <c r="Y92" i="140"/>
  <c r="Y93" i="140"/>
  <c r="X36" i="140"/>
  <c r="Y36" i="140"/>
  <c r="A19" i="101" l="1"/>
  <c r="W18" i="101"/>
  <c r="I39" i="101"/>
  <c r="I49" i="101"/>
  <c r="I69" i="101"/>
  <c r="I79" i="101"/>
  <c r="I89" i="101"/>
  <c r="I99" i="101"/>
  <c r="I109" i="101"/>
  <c r="I119" i="101"/>
  <c r="I44" i="101"/>
  <c r="I54" i="101"/>
  <c r="I59" i="101"/>
  <c r="I64" i="101"/>
  <c r="I74" i="101"/>
  <c r="I84" i="101"/>
  <c r="I94" i="101"/>
  <c r="I104" i="101"/>
  <c r="I114" i="101"/>
  <c r="I112" i="101"/>
  <c r="I92" i="101"/>
  <c r="I72" i="101"/>
  <c r="I67" i="101"/>
  <c r="I117" i="101"/>
  <c r="I97" i="101"/>
  <c r="I77" i="101"/>
  <c r="I47" i="101"/>
  <c r="I42" i="101"/>
  <c r="I102" i="101"/>
  <c r="I82" i="101"/>
  <c r="I62" i="101"/>
  <c r="I57" i="101"/>
  <c r="I52" i="101"/>
  <c r="I37" i="101"/>
  <c r="I107" i="101"/>
  <c r="I87" i="101"/>
  <c r="X20" i="140"/>
  <c r="Y20" i="140"/>
  <c r="X21" i="140"/>
  <c r="Y21" i="140"/>
  <c r="Y28" i="140"/>
  <c r="Y29" i="140"/>
  <c r="A20" i="101" l="1"/>
  <c r="W19" i="101"/>
  <c r="T84" i="140"/>
  <c r="U84" i="140"/>
  <c r="S85" i="140"/>
  <c r="T85" i="140"/>
  <c r="U85" i="140"/>
  <c r="O87" i="140"/>
  <c r="P87" i="140"/>
  <c r="Q87" i="140"/>
  <c r="R87" i="140"/>
  <c r="S87" i="140"/>
  <c r="T87" i="140"/>
  <c r="U87" i="140"/>
  <c r="P89" i="140"/>
  <c r="Q89" i="140"/>
  <c r="R89" i="140"/>
  <c r="S89" i="140"/>
  <c r="T89" i="140"/>
  <c r="U89" i="140"/>
  <c r="M91" i="140"/>
  <c r="N91" i="140"/>
  <c r="O91" i="140"/>
  <c r="P91" i="140"/>
  <c r="Q91" i="140"/>
  <c r="R91" i="140"/>
  <c r="S91" i="140"/>
  <c r="T91" i="140"/>
  <c r="U91" i="140"/>
  <c r="U92" i="140"/>
  <c r="R93" i="140"/>
  <c r="S93" i="140"/>
  <c r="T93" i="140"/>
  <c r="U93" i="140"/>
  <c r="N95" i="140"/>
  <c r="O95" i="140"/>
  <c r="P95" i="140"/>
  <c r="Q95" i="140"/>
  <c r="R95" i="140"/>
  <c r="S95" i="140"/>
  <c r="T95" i="140"/>
  <c r="U95" i="140"/>
  <c r="Q97" i="140"/>
  <c r="R97" i="140"/>
  <c r="S97" i="140"/>
  <c r="T97" i="140"/>
  <c r="U97" i="140"/>
  <c r="L83" i="140"/>
  <c r="M83" i="140"/>
  <c r="N83" i="140"/>
  <c r="O83" i="140"/>
  <c r="P83" i="140"/>
  <c r="Q83" i="140"/>
  <c r="R83" i="140"/>
  <c r="S83" i="140"/>
  <c r="T83" i="140"/>
  <c r="U83" i="140"/>
  <c r="T68" i="140"/>
  <c r="U68" i="140"/>
  <c r="S69" i="140"/>
  <c r="T69" i="140"/>
  <c r="U69" i="140"/>
  <c r="O71" i="140"/>
  <c r="P71" i="140"/>
  <c r="Q71" i="140"/>
  <c r="R71" i="140"/>
  <c r="S71" i="140"/>
  <c r="T71" i="140"/>
  <c r="U71" i="140"/>
  <c r="P73" i="140"/>
  <c r="Q73" i="140"/>
  <c r="R73" i="140"/>
  <c r="S73" i="140"/>
  <c r="T73" i="140"/>
  <c r="U73" i="140"/>
  <c r="M75" i="140"/>
  <c r="N75" i="140"/>
  <c r="O75" i="140"/>
  <c r="P75" i="140"/>
  <c r="Q75" i="140"/>
  <c r="R75" i="140"/>
  <c r="S75" i="140"/>
  <c r="T75" i="140"/>
  <c r="U75" i="140"/>
  <c r="U76" i="140"/>
  <c r="R77" i="140"/>
  <c r="S77" i="140"/>
  <c r="T77" i="140"/>
  <c r="U77" i="140"/>
  <c r="N79" i="140"/>
  <c r="O79" i="140"/>
  <c r="P79" i="140"/>
  <c r="Q79" i="140"/>
  <c r="R79" i="140"/>
  <c r="S79" i="140"/>
  <c r="T79" i="140"/>
  <c r="U79" i="140"/>
  <c r="Q81" i="140"/>
  <c r="R81" i="140"/>
  <c r="S81" i="140"/>
  <c r="T81" i="140"/>
  <c r="U81" i="140"/>
  <c r="L67" i="140"/>
  <c r="M67" i="140"/>
  <c r="N67" i="140"/>
  <c r="O67" i="140"/>
  <c r="P67" i="140"/>
  <c r="Q67" i="140"/>
  <c r="R67" i="140"/>
  <c r="S67" i="140"/>
  <c r="T67" i="140"/>
  <c r="U67" i="140"/>
  <c r="T52" i="140"/>
  <c r="U52" i="140"/>
  <c r="S53" i="140"/>
  <c r="T53" i="140"/>
  <c r="U53" i="140"/>
  <c r="O55" i="140"/>
  <c r="P55" i="140"/>
  <c r="Q55" i="140"/>
  <c r="R55" i="140"/>
  <c r="S55" i="140"/>
  <c r="T55" i="140"/>
  <c r="U55" i="140"/>
  <c r="P57" i="140"/>
  <c r="Q57" i="140"/>
  <c r="R57" i="140"/>
  <c r="S57" i="140"/>
  <c r="T57" i="140"/>
  <c r="U57" i="140"/>
  <c r="M59" i="140"/>
  <c r="N59" i="140"/>
  <c r="O59" i="140"/>
  <c r="P59" i="140"/>
  <c r="Q59" i="140"/>
  <c r="R59" i="140"/>
  <c r="S59" i="140"/>
  <c r="T59" i="140"/>
  <c r="U59" i="140"/>
  <c r="U60" i="140"/>
  <c r="R61" i="140"/>
  <c r="S61" i="140"/>
  <c r="T61" i="140"/>
  <c r="U61" i="140"/>
  <c r="N63" i="140"/>
  <c r="O63" i="140"/>
  <c r="P63" i="140"/>
  <c r="Q63" i="140"/>
  <c r="R63" i="140"/>
  <c r="S63" i="140"/>
  <c r="T63" i="140"/>
  <c r="U63" i="140"/>
  <c r="Q65" i="140"/>
  <c r="R65" i="140"/>
  <c r="S65" i="140"/>
  <c r="T65" i="140"/>
  <c r="U65" i="140"/>
  <c r="L51" i="140"/>
  <c r="M51" i="140"/>
  <c r="N51" i="140"/>
  <c r="O51" i="140"/>
  <c r="P51" i="140"/>
  <c r="Q51" i="140"/>
  <c r="R51" i="140"/>
  <c r="S51" i="140"/>
  <c r="T51" i="140"/>
  <c r="U51" i="140"/>
  <c r="T36" i="140"/>
  <c r="U36" i="140"/>
  <c r="S37" i="140"/>
  <c r="T37" i="140"/>
  <c r="U37" i="140"/>
  <c r="O39" i="140"/>
  <c r="P39" i="140"/>
  <c r="Q39" i="140"/>
  <c r="R39" i="140"/>
  <c r="S39" i="140"/>
  <c r="T39" i="140"/>
  <c r="U39" i="140"/>
  <c r="P41" i="140"/>
  <c r="Q41" i="140"/>
  <c r="R41" i="140"/>
  <c r="S41" i="140"/>
  <c r="T41" i="140"/>
  <c r="U41" i="140"/>
  <c r="M43" i="140"/>
  <c r="N43" i="140"/>
  <c r="O43" i="140"/>
  <c r="P43" i="140"/>
  <c r="Q43" i="140"/>
  <c r="R43" i="140"/>
  <c r="S43" i="140"/>
  <c r="T43" i="140"/>
  <c r="U43" i="140"/>
  <c r="U44" i="140"/>
  <c r="R45" i="140"/>
  <c r="S45" i="140"/>
  <c r="T45" i="140"/>
  <c r="U45" i="140"/>
  <c r="N47" i="140"/>
  <c r="O47" i="140"/>
  <c r="P47" i="140"/>
  <c r="Q47" i="140"/>
  <c r="R47" i="140"/>
  <c r="S47" i="140"/>
  <c r="T47" i="140"/>
  <c r="U47" i="140"/>
  <c r="Q49" i="140"/>
  <c r="R49" i="140"/>
  <c r="S49" i="140"/>
  <c r="T49" i="140"/>
  <c r="U49" i="140"/>
  <c r="L35" i="140"/>
  <c r="M35" i="140"/>
  <c r="N35" i="140"/>
  <c r="O35" i="140"/>
  <c r="P35" i="140"/>
  <c r="Q35" i="140"/>
  <c r="R35" i="140"/>
  <c r="S35" i="140"/>
  <c r="T35" i="140"/>
  <c r="U35" i="140"/>
  <c r="A21" i="101" l="1"/>
  <c r="W20" i="101"/>
  <c r="T20" i="140"/>
  <c r="U20" i="140"/>
  <c r="S21" i="140"/>
  <c r="T21" i="140"/>
  <c r="U21" i="140"/>
  <c r="O23" i="140"/>
  <c r="P23" i="140"/>
  <c r="Q23" i="140"/>
  <c r="R23" i="140"/>
  <c r="S23" i="140"/>
  <c r="T23" i="140"/>
  <c r="U23" i="140"/>
  <c r="P25" i="140"/>
  <c r="Q25" i="140"/>
  <c r="R25" i="140"/>
  <c r="S25" i="140"/>
  <c r="T25" i="140"/>
  <c r="U25" i="140"/>
  <c r="M27" i="140"/>
  <c r="N27" i="140"/>
  <c r="O27" i="140"/>
  <c r="P27" i="140"/>
  <c r="Q27" i="140"/>
  <c r="R27" i="140"/>
  <c r="S27" i="140"/>
  <c r="T27" i="140"/>
  <c r="U27" i="140"/>
  <c r="U28" i="140"/>
  <c r="R29" i="140"/>
  <c r="S29" i="140"/>
  <c r="T29" i="140"/>
  <c r="U29" i="140"/>
  <c r="N31" i="140"/>
  <c r="O31" i="140"/>
  <c r="P31" i="140"/>
  <c r="Q31" i="140"/>
  <c r="R31" i="140"/>
  <c r="S31" i="140"/>
  <c r="T31" i="140"/>
  <c r="U31" i="140"/>
  <c r="Q33" i="140"/>
  <c r="R33" i="140"/>
  <c r="S33" i="140"/>
  <c r="T33" i="140"/>
  <c r="U33" i="140"/>
  <c r="L19" i="140"/>
  <c r="M19" i="140"/>
  <c r="N19" i="140"/>
  <c r="O19" i="140"/>
  <c r="P19" i="140"/>
  <c r="Q19" i="140"/>
  <c r="R19" i="140"/>
  <c r="S19" i="140"/>
  <c r="T19" i="140"/>
  <c r="U19" i="140"/>
  <c r="A22" i="101" l="1"/>
  <c r="W21" i="101"/>
  <c r="I40" i="101"/>
  <c r="I45" i="101"/>
  <c r="I55" i="101"/>
  <c r="I60" i="101"/>
  <c r="I65" i="101"/>
  <c r="I75" i="101"/>
  <c r="I85" i="101"/>
  <c r="I95" i="101"/>
  <c r="I105" i="101"/>
  <c r="I115" i="101"/>
  <c r="I50" i="101"/>
  <c r="I70" i="101"/>
  <c r="I80" i="101"/>
  <c r="I90" i="101"/>
  <c r="I100" i="101"/>
  <c r="I110" i="101"/>
  <c r="I120" i="101"/>
  <c r="I35" i="101"/>
  <c r="A23" i="101" l="1"/>
  <c r="W22" i="101"/>
  <c r="K81" i="130"/>
  <c r="J81" i="130"/>
  <c r="I81" i="130"/>
  <c r="H81" i="130"/>
  <c r="G81" i="130"/>
  <c r="K79" i="130"/>
  <c r="J79" i="130"/>
  <c r="I79" i="130"/>
  <c r="H79" i="130"/>
  <c r="G79" i="130"/>
  <c r="A24" i="101" l="1"/>
  <c r="W23" i="101"/>
  <c r="L79" i="130"/>
  <c r="L81" i="130"/>
  <c r="Y76" i="130"/>
  <c r="X76" i="130"/>
  <c r="W76" i="130"/>
  <c r="V76" i="130"/>
  <c r="U76" i="130"/>
  <c r="Y74" i="130"/>
  <c r="X74" i="130"/>
  <c r="W74" i="130"/>
  <c r="V74" i="130"/>
  <c r="U74" i="130"/>
  <c r="A25" i="101" l="1"/>
  <c r="W24" i="101"/>
  <c r="BN55" i="130"/>
  <c r="BN60" i="130"/>
  <c r="Z74" i="130"/>
  <c r="Z76" i="130"/>
  <c r="K71" i="130"/>
  <c r="J71" i="130"/>
  <c r="I71" i="130"/>
  <c r="H71" i="130"/>
  <c r="G71" i="130"/>
  <c r="K69" i="130"/>
  <c r="J69" i="130"/>
  <c r="I69" i="130"/>
  <c r="H69" i="130"/>
  <c r="G69" i="130"/>
  <c r="BA66" i="130"/>
  <c r="AZ66" i="130"/>
  <c r="AY66" i="130"/>
  <c r="AX66" i="130"/>
  <c r="AW66" i="130"/>
  <c r="AM66" i="130"/>
  <c r="AL66" i="130"/>
  <c r="AK66" i="130"/>
  <c r="AJ66" i="130"/>
  <c r="AI66" i="130"/>
  <c r="BA64" i="130"/>
  <c r="AZ64" i="130"/>
  <c r="AY64" i="130"/>
  <c r="AX64" i="130"/>
  <c r="AW64" i="130"/>
  <c r="AM64" i="130"/>
  <c r="AL64" i="130"/>
  <c r="AK64" i="130"/>
  <c r="AJ64" i="130"/>
  <c r="AI64" i="130"/>
  <c r="A26" i="101" l="1"/>
  <c r="W25" i="101"/>
  <c r="BO52" i="130"/>
  <c r="BO63" i="130" s="1"/>
  <c r="BO55" i="130"/>
  <c r="BO60" i="130" s="1"/>
  <c r="L71" i="130"/>
  <c r="L69" i="130"/>
  <c r="AN64" i="130"/>
  <c r="AN66" i="130"/>
  <c r="BB64" i="130"/>
  <c r="BB66" i="130"/>
  <c r="K61" i="130"/>
  <c r="J61" i="130"/>
  <c r="I61" i="130"/>
  <c r="H61" i="130"/>
  <c r="G61" i="130"/>
  <c r="K59" i="130"/>
  <c r="J59" i="130"/>
  <c r="I59" i="130"/>
  <c r="H59" i="130"/>
  <c r="G59" i="130"/>
  <c r="A27" i="101" l="1"/>
  <c r="W26" i="101"/>
  <c r="BS76" i="130"/>
  <c r="BS75" i="130"/>
  <c r="BP51" i="130"/>
  <c r="BP56" i="130" s="1"/>
  <c r="BP64" i="130" s="1"/>
  <c r="BN63" i="130"/>
  <c r="BP52" i="130"/>
  <c r="BP55" i="130" s="1"/>
  <c r="BP63" i="130" s="1"/>
  <c r="BN52" i="130"/>
  <c r="L59" i="130"/>
  <c r="L61" i="130"/>
  <c r="Y56" i="130"/>
  <c r="X56" i="130"/>
  <c r="W56" i="130"/>
  <c r="V56" i="130"/>
  <c r="U56" i="130"/>
  <c r="Y54" i="130"/>
  <c r="X54" i="130"/>
  <c r="W54" i="130"/>
  <c r="V54" i="130"/>
  <c r="U54" i="130"/>
  <c r="A28" i="101" l="1"/>
  <c r="W27" i="101"/>
  <c r="BP59" i="130"/>
  <c r="BP60" i="130"/>
  <c r="BN59" i="130"/>
  <c r="BN56" i="130"/>
  <c r="Z54" i="130"/>
  <c r="Z56" i="130"/>
  <c r="K51" i="130"/>
  <c r="J51" i="130"/>
  <c r="I51" i="130"/>
  <c r="H51" i="130"/>
  <c r="G51" i="130"/>
  <c r="K49" i="130"/>
  <c r="J49" i="130"/>
  <c r="I49" i="130"/>
  <c r="H49" i="130"/>
  <c r="G49" i="130"/>
  <c r="K41" i="130"/>
  <c r="J41" i="130"/>
  <c r="I41" i="130"/>
  <c r="H41" i="130"/>
  <c r="G41" i="130"/>
  <c r="K39" i="130"/>
  <c r="J39" i="130"/>
  <c r="I39" i="130"/>
  <c r="H39" i="130"/>
  <c r="G39" i="130"/>
  <c r="A29" i="101" l="1"/>
  <c r="W28" i="101"/>
  <c r="BO56" i="130"/>
  <c r="BO59" i="130" s="1"/>
  <c r="L41" i="130"/>
  <c r="BO51" i="130"/>
  <c r="BO64" i="130" s="1"/>
  <c r="L39" i="130"/>
  <c r="L51" i="130"/>
  <c r="L49" i="130"/>
  <c r="Y36" i="130"/>
  <c r="X36" i="130"/>
  <c r="W36" i="130"/>
  <c r="V36" i="130"/>
  <c r="U36" i="130"/>
  <c r="Y34" i="130"/>
  <c r="X34" i="130"/>
  <c r="W34" i="130"/>
  <c r="V34" i="130"/>
  <c r="U34" i="130"/>
  <c r="A30" i="101" l="1"/>
  <c r="W29" i="101"/>
  <c r="BN51" i="130"/>
  <c r="BN54" i="130"/>
  <c r="BN64" i="130"/>
  <c r="Z36" i="130"/>
  <c r="BN61" i="130"/>
  <c r="Z34" i="130"/>
  <c r="BO53" i="130" s="1"/>
  <c r="BO62" i="130" s="1"/>
  <c r="K31" i="130"/>
  <c r="J31" i="130"/>
  <c r="I31" i="130"/>
  <c r="H31" i="130"/>
  <c r="G31" i="130"/>
  <c r="K29" i="130"/>
  <c r="J29" i="130"/>
  <c r="I29" i="130"/>
  <c r="H29" i="130"/>
  <c r="G29" i="130"/>
  <c r="A31" i="101" l="1"/>
  <c r="W30" i="101"/>
  <c r="BO54" i="130"/>
  <c r="BO61" i="130" s="1"/>
  <c r="L31" i="130"/>
  <c r="L29" i="130"/>
  <c r="BA26" i="130"/>
  <c r="AZ26" i="130"/>
  <c r="AY26" i="130"/>
  <c r="AX26" i="130"/>
  <c r="AW26" i="130"/>
  <c r="AM26" i="130"/>
  <c r="AL26" i="130"/>
  <c r="AK26" i="130"/>
  <c r="AJ26" i="130"/>
  <c r="AI26" i="130"/>
  <c r="BA24" i="130"/>
  <c r="AZ24" i="130"/>
  <c r="AY24" i="130"/>
  <c r="AX24" i="130"/>
  <c r="AW24" i="130"/>
  <c r="AM24" i="130"/>
  <c r="AL24" i="130"/>
  <c r="AK24" i="130"/>
  <c r="AJ24" i="130"/>
  <c r="AI24" i="130"/>
  <c r="A32" i="101" l="1"/>
  <c r="W31" i="101"/>
  <c r="BN53" i="130"/>
  <c r="AN24" i="130"/>
  <c r="BN62" i="130"/>
  <c r="AN26" i="130"/>
  <c r="BB24" i="130"/>
  <c r="BB26" i="130"/>
  <c r="K21" i="130"/>
  <c r="J21" i="130"/>
  <c r="I21" i="130"/>
  <c r="H21" i="130"/>
  <c r="G21" i="130"/>
  <c r="K19" i="130"/>
  <c r="J19" i="130"/>
  <c r="I19" i="130"/>
  <c r="H19" i="130"/>
  <c r="G19" i="130"/>
  <c r="A33" i="101" l="1"/>
  <c r="W32" i="101"/>
  <c r="BS73" i="130"/>
  <c r="BS74" i="130"/>
  <c r="BP53" i="130"/>
  <c r="BP50" i="130"/>
  <c r="L19" i="130"/>
  <c r="L21" i="130"/>
  <c r="Y16" i="130"/>
  <c r="X16" i="130"/>
  <c r="W16" i="130"/>
  <c r="V16" i="130"/>
  <c r="U16" i="130"/>
  <c r="Y14" i="130"/>
  <c r="X14" i="130"/>
  <c r="W14" i="130"/>
  <c r="V14" i="130"/>
  <c r="U14" i="130"/>
  <c r="A34" i="101" l="1"/>
  <c r="W33" i="101"/>
  <c r="BN58" i="130"/>
  <c r="BN57" i="130"/>
  <c r="BP57" i="130"/>
  <c r="BP65" i="130" s="1"/>
  <c r="BP58" i="130"/>
  <c r="BP61" i="130"/>
  <c r="BP54" i="130"/>
  <c r="BP62" i="130" s="1"/>
  <c r="Z16" i="130"/>
  <c r="Z14" i="130"/>
  <c r="K11" i="130"/>
  <c r="J11" i="130"/>
  <c r="I11" i="130"/>
  <c r="H11" i="130"/>
  <c r="G11" i="130"/>
  <c r="K9" i="130"/>
  <c r="J9" i="130"/>
  <c r="I9" i="130"/>
  <c r="H9" i="130"/>
  <c r="G9" i="130"/>
  <c r="A35" i="101" l="1"/>
  <c r="W34" i="101"/>
  <c r="BO50" i="130"/>
  <c r="BO65" i="130" s="1"/>
  <c r="BO57" i="130"/>
  <c r="BO58" i="130" s="1"/>
  <c r="L9" i="130"/>
  <c r="L11" i="130"/>
  <c r="A36" i="101" l="1"/>
  <c r="W35" i="101"/>
  <c r="BN65" i="130"/>
  <c r="BN50" i="130"/>
  <c r="A37" i="101" l="1"/>
  <c r="W36" i="101"/>
  <c r="K6" i="100"/>
  <c r="M6" i="100"/>
  <c r="A38" i="101" l="1"/>
  <c r="W37" i="101"/>
  <c r="X15" i="101"/>
  <c r="C6" i="171"/>
  <c r="J6" i="172"/>
  <c r="J6" i="168"/>
  <c r="A5" i="166"/>
  <c r="A5" i="167"/>
  <c r="A5" i="164"/>
  <c r="A5" i="165"/>
  <c r="J6" i="100"/>
  <c r="A39" i="101" l="1"/>
  <c r="W38" i="101"/>
  <c r="AC66" i="166"/>
  <c r="AC26" i="166"/>
  <c r="AQ66" i="166"/>
  <c r="AQ26" i="166"/>
  <c r="AQ64" i="166"/>
  <c r="AQ24" i="166"/>
  <c r="AC64" i="166"/>
  <c r="AC24" i="166"/>
  <c r="AQ66" i="165"/>
  <c r="AQ64" i="165"/>
  <c r="AQ26" i="165"/>
  <c r="AQ24" i="165"/>
  <c r="AC66" i="167"/>
  <c r="AC26" i="167"/>
  <c r="AQ64" i="167"/>
  <c r="AQ24" i="167"/>
  <c r="AC64" i="167"/>
  <c r="AC24" i="167"/>
  <c r="AQ66" i="167"/>
  <c r="AQ26" i="167"/>
  <c r="AQ24" i="164"/>
  <c r="AQ26" i="164"/>
  <c r="AQ66" i="164"/>
  <c r="AQ64" i="164"/>
  <c r="BF42" i="166"/>
  <c r="BF46" i="166"/>
  <c r="BF46" i="167"/>
  <c r="BF42" i="167"/>
  <c r="A4" i="165"/>
  <c r="A4" i="164"/>
  <c r="A4" i="167"/>
  <c r="A4" i="166"/>
  <c r="A40" i="101" l="1"/>
  <c r="W39" i="101"/>
  <c r="I11" i="101"/>
  <c r="BN75" i="167"/>
  <c r="BN74" i="166"/>
  <c r="BN73" i="166"/>
  <c r="BN76" i="167"/>
  <c r="BN74" i="167"/>
  <c r="BN73" i="167"/>
  <c r="BN76" i="166"/>
  <c r="BN75" i="166"/>
  <c r="A41" i="101" l="1"/>
  <c r="W40" i="101"/>
  <c r="I12" i="101"/>
  <c r="A42" i="101" l="1"/>
  <c r="W41" i="101"/>
  <c r="A43" i="101" l="1"/>
  <c r="W42" i="101"/>
  <c r="Q9" i="101"/>
  <c r="A44" i="101" l="1"/>
  <c r="W43" i="101"/>
  <c r="AC24" i="130"/>
  <c r="AC66" i="130"/>
  <c r="AC26" i="130"/>
  <c r="AQ64" i="130"/>
  <c r="AQ24" i="130"/>
  <c r="AC64" i="130"/>
  <c r="AQ26" i="130"/>
  <c r="AQ66" i="130"/>
  <c r="I9" i="101"/>
  <c r="A45" i="101" l="1"/>
  <c r="W44" i="101"/>
  <c r="E12" i="171"/>
  <c r="I24" i="101"/>
  <c r="I23" i="101"/>
  <c r="E10" i="171"/>
  <c r="I20" i="101"/>
  <c r="I17" i="101"/>
  <c r="I16" i="101"/>
  <c r="I18" i="101"/>
  <c r="A46" i="101" l="1"/>
  <c r="W45" i="101"/>
  <c r="I19" i="101"/>
  <c r="I22" i="101"/>
  <c r="I21" i="101"/>
  <c r="I15" i="101"/>
  <c r="A47" i="101" l="1"/>
  <c r="W46" i="101"/>
  <c r="A48" i="101" l="1"/>
  <c r="W47" i="101"/>
  <c r="I14" i="101"/>
  <c r="I13" i="101"/>
  <c r="A49" i="101" l="1"/>
  <c r="W48" i="101"/>
  <c r="BN86" i="167"/>
  <c r="BN83" i="167"/>
  <c r="BN85" i="167"/>
  <c r="BN87" i="167"/>
  <c r="BN88" i="167"/>
  <c r="BN84" i="167"/>
  <c r="BN82" i="167"/>
  <c r="BN81" i="167"/>
  <c r="A50" i="101" l="1"/>
  <c r="W49" i="101"/>
  <c r="A51" i="101" l="1"/>
  <c r="W50" i="101"/>
  <c r="BN79" i="167"/>
  <c r="BN80" i="167"/>
  <c r="BN77" i="167"/>
  <c r="BN78" i="167"/>
  <c r="A52" i="101" l="1"/>
  <c r="W51" i="101"/>
  <c r="A53" i="101" l="1"/>
  <c r="W52" i="101"/>
  <c r="I10" i="101"/>
  <c r="A54" i="101" l="1"/>
  <c r="W53" i="101"/>
  <c r="I29" i="101"/>
  <c r="I32" i="101"/>
  <c r="I34" i="101"/>
  <c r="A55" i="101" l="1"/>
  <c r="W54" i="101"/>
  <c r="I27" i="101"/>
  <c r="I33" i="101"/>
  <c r="I31" i="101"/>
  <c r="I26" i="101"/>
  <c r="K9" i="101"/>
  <c r="E11" i="171"/>
  <c r="I30" i="101"/>
  <c r="I28" i="101"/>
  <c r="I25" i="101"/>
  <c r="B9" i="172" l="1"/>
  <c r="A56" i="101"/>
  <c r="W55" i="101"/>
  <c r="B9" i="100"/>
  <c r="E13" i="171"/>
  <c r="BN84" i="166"/>
  <c r="BN81" i="166"/>
  <c r="BN87" i="166"/>
  <c r="BN82" i="166"/>
  <c r="BN83" i="166"/>
  <c r="BN85" i="166"/>
  <c r="BN86" i="166"/>
  <c r="BN88" i="166"/>
  <c r="A57" i="101" l="1"/>
  <c r="W56" i="101"/>
  <c r="J9" i="100"/>
  <c r="C9" i="100"/>
  <c r="D9" i="100" s="1"/>
  <c r="C9" i="172"/>
  <c r="D9" i="172" s="1"/>
  <c r="A58" i="101" l="1"/>
  <c r="W57" i="101"/>
  <c r="Q9" i="172"/>
  <c r="Y9" i="100"/>
  <c r="Q9" i="100"/>
  <c r="X9" i="100"/>
  <c r="M9" i="100"/>
  <c r="U9" i="100"/>
  <c r="P9" i="100"/>
  <c r="S9" i="100"/>
  <c r="V9" i="100"/>
  <c r="AB9" i="100"/>
  <c r="W9" i="100"/>
  <c r="T9" i="100"/>
  <c r="N9" i="100"/>
  <c r="AA9" i="100"/>
  <c r="K9" i="100"/>
  <c r="Z9" i="100"/>
  <c r="O9" i="100"/>
  <c r="R9" i="100"/>
  <c r="L9" i="100"/>
  <c r="BN80" i="166"/>
  <c r="BN78" i="166"/>
  <c r="BN77" i="166"/>
  <c r="BN79" i="166"/>
  <c r="A59" i="101" l="1"/>
  <c r="W58" i="101"/>
  <c r="O9" i="172"/>
  <c r="T9" i="172"/>
  <c r="S9" i="172"/>
  <c r="N9" i="172"/>
  <c r="M9" i="172"/>
  <c r="K9" i="172"/>
  <c r="L9" i="172"/>
  <c r="R9" i="172"/>
  <c r="A60" i="101" l="1"/>
  <c r="W59" i="101"/>
  <c r="AQ70" i="164"/>
  <c r="AQ20" i="164"/>
  <c r="AQ60" i="164"/>
  <c r="A61" i="101" l="1"/>
  <c r="W60" i="101"/>
  <c r="BE25" i="164"/>
  <c r="BO73" i="164" s="1"/>
  <c r="BE65" i="164"/>
  <c r="BO75" i="164" s="1"/>
  <c r="AQ30" i="165"/>
  <c r="AQ70" i="165"/>
  <c r="AQ60" i="165"/>
  <c r="AQ30" i="164"/>
  <c r="AR20" i="164"/>
  <c r="AR70" i="164"/>
  <c r="AR60" i="164"/>
  <c r="BO76" i="164" l="1"/>
  <c r="BK48" i="164"/>
  <c r="A62" i="101"/>
  <c r="W61" i="101"/>
  <c r="BE25" i="165"/>
  <c r="BO73" i="165" s="1"/>
  <c r="BO74" i="164"/>
  <c r="BQ74" i="164" s="1"/>
  <c r="BE65" i="165"/>
  <c r="BK48" i="165" s="1"/>
  <c r="BO74" i="165"/>
  <c r="BR75" i="164"/>
  <c r="BR76" i="164"/>
  <c r="BR73" i="164"/>
  <c r="BF48" i="164"/>
  <c r="BQ75" i="164"/>
  <c r="BP75" i="164"/>
  <c r="BK44" i="164"/>
  <c r="BQ73" i="164"/>
  <c r="BP73" i="164"/>
  <c r="BQ76" i="164"/>
  <c r="BP76" i="164"/>
  <c r="AR20" i="165"/>
  <c r="BF65" i="164"/>
  <c r="AR70" i="165"/>
  <c r="AR60" i="165"/>
  <c r="AR30" i="165"/>
  <c r="AR30" i="164"/>
  <c r="BF25" i="164"/>
  <c r="BO75" i="165" l="1"/>
  <c r="BO76" i="165"/>
  <c r="BK44" i="165"/>
  <c r="BF42" i="164"/>
  <c r="BN75" i="164" s="1"/>
  <c r="BF46" i="164"/>
  <c r="A63" i="101"/>
  <c r="W62" i="101"/>
  <c r="BP74" i="164"/>
  <c r="BR74" i="164"/>
  <c r="BF48" i="165"/>
  <c r="BR75" i="165"/>
  <c r="BQ75" i="165"/>
  <c r="BP75" i="165"/>
  <c r="BF44" i="165"/>
  <c r="BR73" i="165"/>
  <c r="BQ73" i="165"/>
  <c r="BP73" i="165"/>
  <c r="BQ76" i="165"/>
  <c r="BR76" i="165"/>
  <c r="BP76" i="165"/>
  <c r="BQ74" i="165"/>
  <c r="BR74" i="165"/>
  <c r="BP74" i="165"/>
  <c r="BF44" i="164"/>
  <c r="BF65" i="165"/>
  <c r="BF25" i="165"/>
  <c r="BN74" i="164" l="1"/>
  <c r="BN76" i="164"/>
  <c r="BN73" i="164"/>
  <c r="BF42" i="165"/>
  <c r="BN75" i="165" s="1"/>
  <c r="BF46" i="165"/>
  <c r="A64" i="101"/>
  <c r="W63" i="101"/>
  <c r="BN76" i="165" l="1"/>
  <c r="BN74" i="165"/>
  <c r="BN73" i="165"/>
  <c r="A65" i="101"/>
  <c r="W64" i="101"/>
  <c r="K10" i="101"/>
  <c r="A66" i="101" l="1"/>
  <c r="W65" i="101"/>
  <c r="K14" i="101"/>
  <c r="BA7" i="140" s="1"/>
  <c r="A67" i="101" l="1"/>
  <c r="W66" i="101"/>
  <c r="K12" i="101"/>
  <c r="K11" i="101"/>
  <c r="K13" i="101"/>
  <c r="A68" i="101" l="1"/>
  <c r="W67" i="101"/>
  <c r="M9" i="101"/>
  <c r="A69" i="101" l="1"/>
  <c r="W68" i="101"/>
  <c r="L10" i="101"/>
  <c r="N9" i="101"/>
  <c r="A70" i="101" l="1"/>
  <c r="W69" i="101"/>
  <c r="M10" i="101"/>
  <c r="L11" i="101" s="1"/>
  <c r="A71" i="101" l="1"/>
  <c r="W70" i="101"/>
  <c r="M11" i="101"/>
  <c r="L12" i="101" s="1"/>
  <c r="N10" i="101"/>
  <c r="A72" i="101" l="1"/>
  <c r="W71" i="101"/>
  <c r="N11" i="101"/>
  <c r="M12" i="101"/>
  <c r="L13" i="101" s="1"/>
  <c r="BB60" i="164"/>
  <c r="BB70" i="164"/>
  <c r="BK65" i="164"/>
  <c r="BK25" i="164"/>
  <c r="BB20" i="164"/>
  <c r="BB30" i="164"/>
  <c r="A73" i="101" l="1"/>
  <c r="W72" i="101"/>
  <c r="BK42" i="164"/>
  <c r="BK46" i="164"/>
  <c r="N12" i="101"/>
  <c r="M13" i="101"/>
  <c r="L14" i="101" s="1"/>
  <c r="BB60" i="165"/>
  <c r="BK25" i="165"/>
  <c r="BB20" i="165"/>
  <c r="BK65" i="165"/>
  <c r="BB30" i="165"/>
  <c r="BB70" i="165"/>
  <c r="A74" i="101" l="1"/>
  <c r="W73" i="101"/>
  <c r="BK46" i="165"/>
  <c r="BK42" i="165"/>
  <c r="M14" i="101"/>
  <c r="N14" i="101" s="1"/>
  <c r="N13" i="101"/>
  <c r="G10" i="171"/>
  <c r="H10" i="171" s="1"/>
  <c r="F11" i="171"/>
  <c r="G11" i="171"/>
  <c r="F12" i="171"/>
  <c r="G12" i="171"/>
  <c r="BK65" i="167"/>
  <c r="BB60" i="166"/>
  <c r="BB70" i="167"/>
  <c r="BK25" i="166"/>
  <c r="BB20" i="166"/>
  <c r="BB30" i="166"/>
  <c r="BK65" i="166"/>
  <c r="BB70" i="166"/>
  <c r="BB20" i="167"/>
  <c r="BB30" i="167"/>
  <c r="BK25" i="167"/>
  <c r="BB60" i="167"/>
  <c r="BK46" i="167" l="1"/>
  <c r="BK42" i="167"/>
  <c r="BK42" i="166"/>
  <c r="BK46" i="166"/>
  <c r="A75" i="101"/>
  <c r="W74" i="101"/>
  <c r="G13" i="171"/>
  <c r="F13" i="171"/>
  <c r="H12" i="171"/>
  <c r="H11" i="171"/>
  <c r="A76" i="101" l="1"/>
  <c r="W75" i="101"/>
  <c r="I11" i="171"/>
  <c r="I10" i="171"/>
  <c r="I9" i="171"/>
  <c r="I12" i="171"/>
  <c r="I13" i="171"/>
  <c r="V15" i="101"/>
  <c r="V16" i="101"/>
  <c r="A77" i="101" l="1"/>
  <c r="W76" i="101"/>
  <c r="B15" i="101"/>
  <c r="C15" i="101"/>
  <c r="X16" i="101"/>
  <c r="V17" i="101"/>
  <c r="Y16" i="101"/>
  <c r="A10" i="168"/>
  <c r="B16" i="101" l="1"/>
  <c r="A78" i="101"/>
  <c r="W77" i="101"/>
  <c r="C16" i="101"/>
  <c r="Y17" i="101"/>
  <c r="A11" i="168"/>
  <c r="V18" i="101"/>
  <c r="X17" i="101"/>
  <c r="E10" i="168"/>
  <c r="C10" i="168"/>
  <c r="A79" i="101" l="1"/>
  <c r="W78" i="101"/>
  <c r="B17" i="101"/>
  <c r="C17" i="101"/>
  <c r="X18" i="101"/>
  <c r="V19" i="101"/>
  <c r="A12" i="168"/>
  <c r="Y18" i="101"/>
  <c r="E11" i="168"/>
  <c r="C11" i="168"/>
  <c r="H10" i="168"/>
  <c r="I10" i="168"/>
  <c r="C18" i="101" l="1"/>
  <c r="A80" i="101"/>
  <c r="W79" i="101"/>
  <c r="B18" i="101"/>
  <c r="C12" i="168"/>
  <c r="E12" i="168"/>
  <c r="I11" i="168"/>
  <c r="H11" i="168"/>
  <c r="V20" i="101"/>
  <c r="X19" i="101"/>
  <c r="Y19" i="101"/>
  <c r="A13" i="168"/>
  <c r="A81" i="101" l="1"/>
  <c r="W80" i="101"/>
  <c r="C19" i="101"/>
  <c r="B19" i="101"/>
  <c r="I12" i="168"/>
  <c r="H12" i="168"/>
  <c r="C13" i="168"/>
  <c r="E13" i="168"/>
  <c r="A14" i="168"/>
  <c r="V21" i="101"/>
  <c r="Y20" i="101"/>
  <c r="X20" i="101"/>
  <c r="A82" i="101" l="1"/>
  <c r="W81" i="101"/>
  <c r="B20" i="101"/>
  <c r="C20" i="101"/>
  <c r="H13" i="168"/>
  <c r="I13" i="168"/>
  <c r="V22" i="101"/>
  <c r="X21" i="101"/>
  <c r="A15" i="168"/>
  <c r="Y21" i="101"/>
  <c r="C14" i="168"/>
  <c r="E14" i="168"/>
  <c r="A83" i="101" l="1"/>
  <c r="W82" i="101"/>
  <c r="C21" i="101"/>
  <c r="B21" i="101"/>
  <c r="Y22" i="101"/>
  <c r="V23" i="101"/>
  <c r="X22" i="101"/>
  <c r="A16" i="168"/>
  <c r="I14" i="168"/>
  <c r="H14" i="168"/>
  <c r="C15" i="168"/>
  <c r="E15" i="168"/>
  <c r="A84" i="101" l="1"/>
  <c r="W83" i="101"/>
  <c r="C22" i="101"/>
  <c r="B22" i="101"/>
  <c r="C16" i="168"/>
  <c r="E16" i="168"/>
  <c r="X23" i="101"/>
  <c r="V24" i="101"/>
  <c r="Y23" i="101"/>
  <c r="A17" i="168"/>
  <c r="I15" i="168"/>
  <c r="H15" i="168"/>
  <c r="A85" i="101" l="1"/>
  <c r="W84" i="101"/>
  <c r="B23" i="101"/>
  <c r="C23" i="101"/>
  <c r="Y24" i="101"/>
  <c r="V25" i="101"/>
  <c r="X24" i="101"/>
  <c r="A18" i="168"/>
  <c r="H16" i="168"/>
  <c r="I16" i="168"/>
  <c r="E17" i="168"/>
  <c r="C17" i="168"/>
  <c r="A86" i="101" l="1"/>
  <c r="W85" i="101"/>
  <c r="C24" i="101"/>
  <c r="B24" i="101"/>
  <c r="X25" i="101"/>
  <c r="Y25" i="101"/>
  <c r="V26" i="101"/>
  <c r="A19" i="168"/>
  <c r="H17" i="168"/>
  <c r="I17" i="168"/>
  <c r="C18" i="168"/>
  <c r="E18" i="168"/>
  <c r="A87" i="101" l="1"/>
  <c r="W86" i="101"/>
  <c r="B25" i="101"/>
  <c r="C25" i="101"/>
  <c r="I18" i="168"/>
  <c r="H18" i="168"/>
  <c r="A20" i="168"/>
  <c r="Y26" i="101"/>
  <c r="X26" i="101"/>
  <c r="V27" i="101"/>
  <c r="E19" i="168"/>
  <c r="C19" i="168"/>
  <c r="A88" i="101" l="1"/>
  <c r="W87" i="101"/>
  <c r="B26" i="101"/>
  <c r="C26" i="101"/>
  <c r="E20" i="168"/>
  <c r="C20" i="168"/>
  <c r="I19" i="168"/>
  <c r="H19" i="168"/>
  <c r="X27" i="101"/>
  <c r="Y27" i="101"/>
  <c r="V28" i="101"/>
  <c r="A21" i="168"/>
  <c r="A89" i="101" l="1"/>
  <c r="W88" i="101"/>
  <c r="B27" i="101"/>
  <c r="C21" i="168"/>
  <c r="E21" i="168"/>
  <c r="C27" i="101"/>
  <c r="I20" i="168"/>
  <c r="H20" i="168"/>
  <c r="X28" i="101"/>
  <c r="A22" i="168"/>
  <c r="V29" i="101"/>
  <c r="Y28" i="101"/>
  <c r="BN85" i="164"/>
  <c r="BN83" i="164"/>
  <c r="BN84" i="164"/>
  <c r="BN86" i="164"/>
  <c r="BN88" i="164"/>
  <c r="BN82" i="164"/>
  <c r="BN87" i="164"/>
  <c r="BN81" i="164"/>
  <c r="A90" i="101" l="1"/>
  <c r="W89" i="101"/>
  <c r="C28" i="101"/>
  <c r="B28" i="101"/>
  <c r="E22" i="168"/>
  <c r="C22" i="168"/>
  <c r="H21" i="168"/>
  <c r="I21" i="168"/>
  <c r="V30" i="101"/>
  <c r="Y29" i="101"/>
  <c r="X29" i="101"/>
  <c r="A23" i="168"/>
  <c r="BN77" i="164"/>
  <c r="A91" i="101" l="1"/>
  <c r="W90" i="101"/>
  <c r="C29" i="101"/>
  <c r="B29" i="101"/>
  <c r="V31" i="101"/>
  <c r="A24" i="168"/>
  <c r="X30" i="101"/>
  <c r="Y30" i="101"/>
  <c r="H22" i="168"/>
  <c r="I22" i="168"/>
  <c r="E23" i="168"/>
  <c r="C23" i="168"/>
  <c r="BN80" i="164"/>
  <c r="BN78" i="164"/>
  <c r="BN79" i="164"/>
  <c r="A92" i="101" l="1"/>
  <c r="W91" i="101"/>
  <c r="C30" i="101"/>
  <c r="C24" i="168"/>
  <c r="E24" i="168"/>
  <c r="B30" i="101"/>
  <c r="X31" i="101"/>
  <c r="A25" i="168"/>
  <c r="Y31" i="101"/>
  <c r="V32" i="101"/>
  <c r="H23" i="168"/>
  <c r="I23" i="168"/>
  <c r="A93" i="101" l="1"/>
  <c r="W92" i="101"/>
  <c r="C31" i="101"/>
  <c r="B31" i="101"/>
  <c r="E25" i="168"/>
  <c r="C25" i="168"/>
  <c r="A26" i="168"/>
  <c r="Y32" i="101"/>
  <c r="V33" i="101"/>
  <c r="X32" i="101"/>
  <c r="I24" i="168"/>
  <c r="H24" i="168"/>
  <c r="A94" i="101" l="1"/>
  <c r="W93" i="101"/>
  <c r="C32" i="101"/>
  <c r="B32" i="101"/>
  <c r="Y33" i="101"/>
  <c r="A27" i="168"/>
  <c r="X33" i="101"/>
  <c r="V34" i="101"/>
  <c r="E26" i="168"/>
  <c r="C26" i="168"/>
  <c r="H25" i="168"/>
  <c r="I25" i="168"/>
  <c r="F25" i="168"/>
  <c r="G25" i="168"/>
  <c r="C33" i="101" l="1"/>
  <c r="A95" i="101"/>
  <c r="W94" i="101"/>
  <c r="B33" i="101"/>
  <c r="E27" i="168"/>
  <c r="C27" i="168"/>
  <c r="I26" i="168"/>
  <c r="G26" i="168"/>
  <c r="H26" i="168"/>
  <c r="F26" i="168"/>
  <c r="Y34" i="101"/>
  <c r="V35" i="101"/>
  <c r="A28" i="168"/>
  <c r="X34" i="101"/>
  <c r="A96" i="101" l="1"/>
  <c r="W95" i="101"/>
  <c r="B34" i="101"/>
  <c r="C34" i="101"/>
  <c r="X35" i="101"/>
  <c r="A29" i="168"/>
  <c r="Y35" i="101"/>
  <c r="V36" i="101"/>
  <c r="E28" i="168"/>
  <c r="C28" i="168"/>
  <c r="H27" i="168"/>
  <c r="I27" i="168"/>
  <c r="F27" i="168"/>
  <c r="G27" i="168"/>
  <c r="L83" i="164"/>
  <c r="L7" i="164"/>
  <c r="L27" i="164"/>
  <c r="L77" i="164"/>
  <c r="L63" i="164"/>
  <c r="B83" i="164"/>
  <c r="B57" i="164"/>
  <c r="L37" i="164"/>
  <c r="L57" i="164"/>
  <c r="L67" i="164"/>
  <c r="B73" i="164"/>
  <c r="B53" i="164"/>
  <c r="B47" i="164"/>
  <c r="B37" i="164"/>
  <c r="B13" i="164"/>
  <c r="B23" i="164"/>
  <c r="B33" i="164"/>
  <c r="B43" i="164"/>
  <c r="B77" i="164"/>
  <c r="B63" i="164"/>
  <c r="L33" i="164"/>
  <c r="L53" i="164"/>
  <c r="B7" i="164"/>
  <c r="L73" i="164"/>
  <c r="B17" i="164"/>
  <c r="L23" i="164"/>
  <c r="B67" i="164"/>
  <c r="B27" i="164"/>
  <c r="L13" i="164"/>
  <c r="L17" i="164"/>
  <c r="L47" i="164"/>
  <c r="L43" i="164"/>
  <c r="O30" i="164" l="1"/>
  <c r="O60" i="164"/>
  <c r="O50" i="164"/>
  <c r="O40" i="164"/>
  <c r="O70" i="164"/>
  <c r="O10" i="164"/>
  <c r="O20" i="164"/>
  <c r="O80" i="164"/>
  <c r="A97" i="101"/>
  <c r="W96" i="101"/>
  <c r="C35" i="101"/>
  <c r="Y36" i="101"/>
  <c r="V37" i="101"/>
  <c r="X36" i="101"/>
  <c r="A30" i="168"/>
  <c r="H28" i="168"/>
  <c r="F28" i="168"/>
  <c r="I28" i="168"/>
  <c r="G28" i="168"/>
  <c r="B35" i="101"/>
  <c r="E29" i="168"/>
  <c r="C29" i="168"/>
  <c r="Z50" i="164"/>
  <c r="P80" i="164"/>
  <c r="P70" i="164"/>
  <c r="P40" i="164"/>
  <c r="P30" i="164"/>
  <c r="P60" i="164"/>
  <c r="Z30" i="164"/>
  <c r="Z70" i="164"/>
  <c r="P10" i="164"/>
  <c r="Z20" i="164"/>
  <c r="C36" i="101" l="1"/>
  <c r="AC75" i="164"/>
  <c r="AC35" i="164"/>
  <c r="AC55" i="164"/>
  <c r="BT82" i="164"/>
  <c r="BT87" i="164"/>
  <c r="BT85" i="164"/>
  <c r="BT83" i="164"/>
  <c r="BT88" i="164"/>
  <c r="BT81" i="164"/>
  <c r="BT84" i="164"/>
  <c r="BT86" i="164"/>
  <c r="A98" i="101"/>
  <c r="W97" i="101"/>
  <c r="B36" i="101"/>
  <c r="A31" i="168"/>
  <c r="X37" i="101"/>
  <c r="V38" i="101"/>
  <c r="Y37" i="101"/>
  <c r="C30" i="168"/>
  <c r="E30" i="168"/>
  <c r="G29" i="168"/>
  <c r="I29" i="168"/>
  <c r="F29" i="168"/>
  <c r="H29" i="168"/>
  <c r="P20" i="164"/>
  <c r="P50" i="164"/>
  <c r="Z60" i="164"/>
  <c r="Z40" i="164"/>
  <c r="Z80" i="164"/>
  <c r="Z10" i="164"/>
  <c r="AN75" i="164"/>
  <c r="AN55" i="164"/>
  <c r="AC15" i="164" l="1"/>
  <c r="BT78" i="164"/>
  <c r="B37" i="101"/>
  <c r="C37" i="101"/>
  <c r="BT79" i="164"/>
  <c r="BT80" i="164"/>
  <c r="BT77" i="164"/>
  <c r="BO85" i="164"/>
  <c r="BP85" i="164" s="1"/>
  <c r="BO83" i="164"/>
  <c r="BP83" i="164" s="1"/>
  <c r="BO84" i="164"/>
  <c r="BP84" i="164" s="1"/>
  <c r="BO86" i="164"/>
  <c r="BP86" i="164" s="1"/>
  <c r="BO88" i="164"/>
  <c r="BP88" i="164" s="1"/>
  <c r="BO82" i="164"/>
  <c r="BP82" i="164" s="1"/>
  <c r="BO87" i="164"/>
  <c r="BP87" i="164" s="1"/>
  <c r="BO81" i="164"/>
  <c r="BP81" i="164" s="1"/>
  <c r="A99" i="101"/>
  <c r="W98" i="101"/>
  <c r="C31" i="168"/>
  <c r="E31" i="168"/>
  <c r="H30" i="168"/>
  <c r="F30" i="168"/>
  <c r="G30" i="168"/>
  <c r="I30" i="168"/>
  <c r="X38" i="101"/>
  <c r="V39" i="101"/>
  <c r="A32" i="168"/>
  <c r="Y38" i="101"/>
  <c r="BN83" i="165"/>
  <c r="BN85" i="165"/>
  <c r="BN81" i="165"/>
  <c r="BN86" i="165"/>
  <c r="BN88" i="165"/>
  <c r="BN84" i="165"/>
  <c r="BN87" i="165"/>
  <c r="BN82" i="165"/>
  <c r="AN15" i="164"/>
  <c r="L13" i="165"/>
  <c r="L27" i="165"/>
  <c r="B67" i="165"/>
  <c r="B33" i="165"/>
  <c r="L7" i="165"/>
  <c r="L23" i="165"/>
  <c r="L67" i="165"/>
  <c r="L77" i="165"/>
  <c r="B23" i="165"/>
  <c r="AN35" i="164"/>
  <c r="AD75" i="164"/>
  <c r="L83" i="165"/>
  <c r="B47" i="165"/>
  <c r="AD35" i="164"/>
  <c r="L43" i="165"/>
  <c r="AD55" i="164"/>
  <c r="L33" i="165"/>
  <c r="L17" i="165"/>
  <c r="B63" i="165"/>
  <c r="L47" i="165"/>
  <c r="B53" i="165"/>
  <c r="B43" i="165"/>
  <c r="B37" i="165"/>
  <c r="B83" i="165"/>
  <c r="B27" i="165"/>
  <c r="L57" i="165"/>
  <c r="B17" i="165"/>
  <c r="AD15" i="164"/>
  <c r="B73" i="165"/>
  <c r="B7" i="165"/>
  <c r="B57" i="165"/>
  <c r="B13" i="165"/>
  <c r="L37" i="165"/>
  <c r="L53" i="165"/>
  <c r="L73" i="165"/>
  <c r="B77" i="165"/>
  <c r="L63" i="165"/>
  <c r="O60" i="165" l="1"/>
  <c r="O40" i="165"/>
  <c r="O70" i="165"/>
  <c r="O10" i="165"/>
  <c r="O50" i="165"/>
  <c r="O20" i="165"/>
  <c r="O80" i="165"/>
  <c r="O30" i="165"/>
  <c r="C38" i="101"/>
  <c r="B38" i="101"/>
  <c r="BO80" i="164"/>
  <c r="BP80" i="164" s="1"/>
  <c r="BO79" i="164"/>
  <c r="BQ79" i="164" s="1"/>
  <c r="BO77" i="164"/>
  <c r="BQ77" i="164" s="1"/>
  <c r="BO78" i="164"/>
  <c r="BQ78" i="164" s="1"/>
  <c r="A100" i="101"/>
  <c r="W99" i="101"/>
  <c r="Y39" i="101"/>
  <c r="X39" i="101"/>
  <c r="V40" i="101"/>
  <c r="A33" i="168"/>
  <c r="F31" i="168"/>
  <c r="I31" i="168"/>
  <c r="H31" i="168"/>
  <c r="G31" i="168"/>
  <c r="C32" i="168"/>
  <c r="E32" i="168"/>
  <c r="BN78" i="165"/>
  <c r="P40" i="165"/>
  <c r="Z40" i="165"/>
  <c r="P50" i="165"/>
  <c r="Z60" i="165"/>
  <c r="Z80" i="165"/>
  <c r="P80" i="165"/>
  <c r="Z30" i="165"/>
  <c r="P30" i="165"/>
  <c r="Z20" i="165"/>
  <c r="Z50" i="165"/>
  <c r="P10" i="165"/>
  <c r="BT82" i="165" l="1"/>
  <c r="BT87" i="165"/>
  <c r="BT86" i="165"/>
  <c r="AC75" i="165"/>
  <c r="AC35" i="165"/>
  <c r="P20" i="165"/>
  <c r="BT88" i="165"/>
  <c r="BT81" i="165"/>
  <c r="BT83" i="165"/>
  <c r="BT84" i="165"/>
  <c r="BT85" i="165"/>
  <c r="P60" i="165"/>
  <c r="C39" i="101"/>
  <c r="B39" i="101"/>
  <c r="BQ80" i="164"/>
  <c r="BP79" i="164"/>
  <c r="BP78" i="164"/>
  <c r="BP77" i="164"/>
  <c r="A101" i="101"/>
  <c r="W100" i="101"/>
  <c r="C33" i="168"/>
  <c r="E33" i="168"/>
  <c r="I32" i="168"/>
  <c r="G32" i="168"/>
  <c r="H32" i="168"/>
  <c r="F32" i="168"/>
  <c r="Y40" i="101"/>
  <c r="A34" i="168"/>
  <c r="X40" i="101"/>
  <c r="V41" i="101"/>
  <c r="BN80" i="165"/>
  <c r="BN77" i="165"/>
  <c r="BN79" i="165"/>
  <c r="P70" i="165"/>
  <c r="Z70" i="165"/>
  <c r="Z10" i="165"/>
  <c r="AN75" i="165"/>
  <c r="AD35" i="165" l="1"/>
  <c r="AD75" i="165"/>
  <c r="AC15" i="165"/>
  <c r="BT77" i="165" s="1"/>
  <c r="AC55" i="165"/>
  <c r="BO87" i="165"/>
  <c r="BP87" i="165" s="1"/>
  <c r="BO84" i="165"/>
  <c r="BP84" i="165" s="1"/>
  <c r="BT78" i="165"/>
  <c r="BT80" i="165"/>
  <c r="BO81" i="165"/>
  <c r="BP81" i="165" s="1"/>
  <c r="BO86" i="165"/>
  <c r="BP86" i="165" s="1"/>
  <c r="BO85" i="165"/>
  <c r="BP85" i="165" s="1"/>
  <c r="BO82" i="165"/>
  <c r="BP82" i="165" s="1"/>
  <c r="BO83" i="165"/>
  <c r="BP83" i="165" s="1"/>
  <c r="BO88" i="165"/>
  <c r="BP88" i="165" s="1"/>
  <c r="C40" i="101"/>
  <c r="B40" i="101"/>
  <c r="A102" i="101"/>
  <c r="W101" i="101"/>
  <c r="Y41" i="101"/>
  <c r="X41" i="101"/>
  <c r="A35" i="168"/>
  <c r="E34" i="168"/>
  <c r="C34" i="168"/>
  <c r="H33" i="168"/>
  <c r="F33" i="168"/>
  <c r="G33" i="168"/>
  <c r="I33" i="168"/>
  <c r="AN35" i="165"/>
  <c r="AN15" i="165"/>
  <c r="AN55" i="165"/>
  <c r="AD55" i="165" l="1"/>
  <c r="AD15" i="165"/>
  <c r="BT79" i="165"/>
  <c r="BO77" i="165" s="1"/>
  <c r="BP77" i="165" s="1"/>
  <c r="B41" i="101"/>
  <c r="C41" i="101"/>
  <c r="A103" i="101"/>
  <c r="W102" i="101"/>
  <c r="C35" i="168"/>
  <c r="E35" i="168"/>
  <c r="F34" i="168"/>
  <c r="I34" i="168"/>
  <c r="H34" i="168"/>
  <c r="G34" i="168"/>
  <c r="V43" i="101"/>
  <c r="X42" i="101"/>
  <c r="A36" i="168"/>
  <c r="Y42" i="101"/>
  <c r="BO80" i="165" l="1"/>
  <c r="BP80" i="165" s="1"/>
  <c r="BO79" i="165"/>
  <c r="BQ79" i="165" s="1"/>
  <c r="BO78" i="165"/>
  <c r="BQ78" i="165" s="1"/>
  <c r="BQ77" i="165"/>
  <c r="C42" i="101"/>
  <c r="B42" i="101"/>
  <c r="A104" i="101"/>
  <c r="W103" i="101"/>
  <c r="C36" i="168"/>
  <c r="E36" i="168"/>
  <c r="X43" i="101"/>
  <c r="A37" i="168"/>
  <c r="V44" i="101"/>
  <c r="Y43" i="101"/>
  <c r="G35" i="168"/>
  <c r="I35" i="168"/>
  <c r="H35" i="168"/>
  <c r="F35" i="168"/>
  <c r="BQ80" i="165" l="1"/>
  <c r="BP79" i="165"/>
  <c r="BP78" i="165"/>
  <c r="C43" i="101"/>
  <c r="B43" i="101"/>
  <c r="A105" i="101"/>
  <c r="W104" i="101"/>
  <c r="E37" i="168"/>
  <c r="C37" i="168"/>
  <c r="I36" i="168"/>
  <c r="H36" i="168"/>
  <c r="G36" i="168"/>
  <c r="F36" i="168"/>
  <c r="A38" i="168"/>
  <c r="V45" i="101"/>
  <c r="X44" i="101"/>
  <c r="Y44" i="101"/>
  <c r="B67" i="166"/>
  <c r="L53" i="166"/>
  <c r="L83" i="166"/>
  <c r="L33" i="166"/>
  <c r="B73" i="166"/>
  <c r="L63" i="166"/>
  <c r="L23" i="166"/>
  <c r="B23" i="166"/>
  <c r="B47" i="166"/>
  <c r="L7" i="166"/>
  <c r="B77" i="166"/>
  <c r="B53" i="166"/>
  <c r="B27" i="166"/>
  <c r="B57" i="166"/>
  <c r="B43" i="166"/>
  <c r="L77" i="166"/>
  <c r="L47" i="166"/>
  <c r="L17" i="166"/>
  <c r="L57" i="166"/>
  <c r="L73" i="166"/>
  <c r="B83" i="166"/>
  <c r="L67" i="166"/>
  <c r="B63" i="166"/>
  <c r="B13" i="166"/>
  <c r="B37" i="166"/>
  <c r="B17" i="166"/>
  <c r="L27" i="166"/>
  <c r="L13" i="166"/>
  <c r="L43" i="166"/>
  <c r="B33" i="166"/>
  <c r="L37" i="166"/>
  <c r="B7" i="166"/>
  <c r="B44" i="101" l="1"/>
  <c r="C44" i="101"/>
  <c r="O60" i="166"/>
  <c r="O30" i="166"/>
  <c r="O10" i="166"/>
  <c r="O70" i="166"/>
  <c r="O80" i="166"/>
  <c r="O40" i="166"/>
  <c r="O50" i="166"/>
  <c r="O20" i="166"/>
  <c r="A106" i="101"/>
  <c r="W105" i="101"/>
  <c r="V46" i="101"/>
  <c r="X45" i="101"/>
  <c r="Y45" i="101"/>
  <c r="A39" i="168"/>
  <c r="C38" i="168"/>
  <c r="E38" i="168"/>
  <c r="G37" i="168"/>
  <c r="I37" i="168"/>
  <c r="H37" i="168"/>
  <c r="F37" i="168"/>
  <c r="P50" i="166"/>
  <c r="Z50" i="166"/>
  <c r="Z20" i="166"/>
  <c r="P20" i="166"/>
  <c r="Z80" i="166"/>
  <c r="Z40" i="166"/>
  <c r="BT81" i="166" l="1"/>
  <c r="BT83" i="166"/>
  <c r="BT86" i="166"/>
  <c r="BT87" i="166"/>
  <c r="C45" i="101"/>
  <c r="B45" i="101"/>
  <c r="AC15" i="166"/>
  <c r="BT85" i="166"/>
  <c r="BT84" i="166"/>
  <c r="BT82" i="166"/>
  <c r="BT88" i="166"/>
  <c r="A107" i="101"/>
  <c r="W106" i="101"/>
  <c r="P47" i="101"/>
  <c r="Y46" i="101"/>
  <c r="X46" i="101"/>
  <c r="V47" i="101"/>
  <c r="A40" i="168"/>
  <c r="F38" i="168"/>
  <c r="I38" i="168"/>
  <c r="H38" i="168"/>
  <c r="G38" i="168"/>
  <c r="C39" i="168"/>
  <c r="E39" i="168"/>
  <c r="P10" i="166"/>
  <c r="Z10" i="166"/>
  <c r="P80" i="166"/>
  <c r="P60" i="166"/>
  <c r="P40" i="166"/>
  <c r="P30" i="166"/>
  <c r="Z30" i="166"/>
  <c r="Z60" i="166"/>
  <c r="Z70" i="166"/>
  <c r="P70" i="166"/>
  <c r="AN15" i="166"/>
  <c r="AC55" i="166" l="1"/>
  <c r="AC75" i="166"/>
  <c r="AC35" i="166"/>
  <c r="C46" i="101"/>
  <c r="B46" i="101"/>
  <c r="BO81" i="166"/>
  <c r="BP81" i="166" s="1"/>
  <c r="BO82" i="166"/>
  <c r="BP82" i="166" s="1"/>
  <c r="BO83" i="166"/>
  <c r="BP83" i="166" s="1"/>
  <c r="BO86" i="166"/>
  <c r="BP86" i="166" s="1"/>
  <c r="BO84" i="166"/>
  <c r="BP84" i="166" s="1"/>
  <c r="BO88" i="166"/>
  <c r="BP88" i="166" s="1"/>
  <c r="BO85" i="166"/>
  <c r="BP85" i="166" s="1"/>
  <c r="BT77" i="166"/>
  <c r="BO87" i="166"/>
  <c r="BP87" i="166" s="1"/>
  <c r="A108" i="101"/>
  <c r="W107" i="101"/>
  <c r="P48" i="101"/>
  <c r="X47" i="101"/>
  <c r="C47" i="101"/>
  <c r="B47" i="101"/>
  <c r="Y47" i="101"/>
  <c r="V48" i="101"/>
  <c r="A41" i="168"/>
  <c r="E40" i="168"/>
  <c r="C40" i="168"/>
  <c r="I39" i="168"/>
  <c r="H39" i="168"/>
  <c r="G39" i="168"/>
  <c r="F39" i="168"/>
  <c r="B57" i="167"/>
  <c r="B77" i="167"/>
  <c r="L37" i="167"/>
  <c r="B83" i="167"/>
  <c r="L13" i="167"/>
  <c r="L7" i="167"/>
  <c r="L47" i="167"/>
  <c r="L17" i="167"/>
  <c r="B43" i="167"/>
  <c r="L63" i="167"/>
  <c r="AD15" i="166"/>
  <c r="L27" i="167"/>
  <c r="B67" i="167"/>
  <c r="L57" i="167"/>
  <c r="L77" i="167"/>
  <c r="B37" i="167"/>
  <c r="B17" i="167"/>
  <c r="L73" i="167"/>
  <c r="L67" i="167"/>
  <c r="L53" i="167"/>
  <c r="L33" i="167"/>
  <c r="B27" i="167"/>
  <c r="B33" i="167"/>
  <c r="B23" i="167"/>
  <c r="B13" i="167"/>
  <c r="B73" i="167"/>
  <c r="B7" i="167"/>
  <c r="L43" i="167"/>
  <c r="B63" i="167"/>
  <c r="L83" i="167"/>
  <c r="L23" i="167"/>
  <c r="B53" i="167"/>
  <c r="B47" i="167"/>
  <c r="BT79" i="166" l="1"/>
  <c r="BT78" i="166"/>
  <c r="AD35" i="166"/>
  <c r="BT80" i="166"/>
  <c r="AD75" i="166"/>
  <c r="O20" i="167"/>
  <c r="O70" i="167"/>
  <c r="O10" i="167"/>
  <c r="O50" i="167"/>
  <c r="O60" i="167"/>
  <c r="O30" i="167"/>
  <c r="O40" i="167"/>
  <c r="O80" i="167"/>
  <c r="A109" i="101"/>
  <c r="W108" i="101"/>
  <c r="P49" i="101"/>
  <c r="Y48" i="101"/>
  <c r="X48" i="101"/>
  <c r="B48" i="101"/>
  <c r="V49" i="101"/>
  <c r="C48" i="101"/>
  <c r="A42" i="168"/>
  <c r="I40" i="168"/>
  <c r="H40" i="168"/>
  <c r="G40" i="168"/>
  <c r="F40" i="168"/>
  <c r="B41" i="168"/>
  <c r="D41" i="168" s="1"/>
  <c r="J41" i="168"/>
  <c r="L41" i="168" s="1"/>
  <c r="C41" i="168"/>
  <c r="E41" i="168"/>
  <c r="P40" i="167"/>
  <c r="Z60" i="167"/>
  <c r="AD55" i="166"/>
  <c r="AN55" i="166"/>
  <c r="P60" i="167"/>
  <c r="Z20" i="167"/>
  <c r="AN35" i="166"/>
  <c r="P20" i="167"/>
  <c r="AN75" i="166"/>
  <c r="P30" i="167"/>
  <c r="Z80" i="167"/>
  <c r="P70" i="167"/>
  <c r="Z10" i="167"/>
  <c r="BO79" i="166" l="1"/>
  <c r="BP79" i="166" s="1"/>
  <c r="BT86" i="167"/>
  <c r="BT81" i="167"/>
  <c r="BT85" i="167"/>
  <c r="BT87" i="167"/>
  <c r="BO77" i="166"/>
  <c r="BQ77" i="166" s="1"/>
  <c r="BO80" i="166"/>
  <c r="BP80" i="166" s="1"/>
  <c r="BO78" i="166"/>
  <c r="BQ78" i="166" s="1"/>
  <c r="AC35" i="167"/>
  <c r="AC55" i="167"/>
  <c r="AC15" i="167"/>
  <c r="BT84" i="167"/>
  <c r="BT83" i="167"/>
  <c r="BT88" i="167"/>
  <c r="BT82" i="167"/>
  <c r="A110" i="101"/>
  <c r="W109" i="101"/>
  <c r="V50" i="101"/>
  <c r="P50" i="101"/>
  <c r="B49" i="101"/>
  <c r="X49" i="101"/>
  <c r="Y49" i="101"/>
  <c r="C49" i="101"/>
  <c r="A43" i="168"/>
  <c r="G41" i="168"/>
  <c r="I41" i="168"/>
  <c r="H41" i="168"/>
  <c r="F41" i="168"/>
  <c r="P41" i="168"/>
  <c r="Z41" i="168"/>
  <c r="U41" i="168"/>
  <c r="W41" i="168"/>
  <c r="Y41" i="168"/>
  <c r="V41" i="168"/>
  <c r="AB41" i="168"/>
  <c r="T41" i="168"/>
  <c r="S41" i="168"/>
  <c r="Q41" i="168"/>
  <c r="AA41" i="168"/>
  <c r="X41" i="168"/>
  <c r="K41" i="168"/>
  <c r="M41" i="168" s="1"/>
  <c r="R41" i="168"/>
  <c r="N41" i="168"/>
  <c r="O41" i="168"/>
  <c r="J42" i="168"/>
  <c r="L42" i="168" s="1"/>
  <c r="C42" i="168"/>
  <c r="E42" i="168"/>
  <c r="B42" i="168"/>
  <c r="D42" i="168" s="1"/>
  <c r="P80" i="167"/>
  <c r="Z40" i="167"/>
  <c r="Z30" i="167"/>
  <c r="Z50" i="167"/>
  <c r="Z70" i="167"/>
  <c r="P10" i="167"/>
  <c r="P50" i="167"/>
  <c r="AN35" i="167"/>
  <c r="AC75" i="167" l="1"/>
  <c r="BQ79" i="166"/>
  <c r="BT77" i="167"/>
  <c r="BT79" i="167"/>
  <c r="BT78" i="167"/>
  <c r="BP78" i="166"/>
  <c r="BP77" i="166"/>
  <c r="BQ80" i="166"/>
  <c r="BO86" i="167"/>
  <c r="BP86" i="167" s="1"/>
  <c r="BO84" i="167"/>
  <c r="BP84" i="167" s="1"/>
  <c r="BO81" i="167"/>
  <c r="BP81" i="167" s="1"/>
  <c r="BO88" i="167"/>
  <c r="BP88" i="167" s="1"/>
  <c r="BO87" i="167"/>
  <c r="BP87" i="167" s="1"/>
  <c r="BO85" i="167"/>
  <c r="BP85" i="167" s="1"/>
  <c r="BO83" i="167"/>
  <c r="BP83" i="167" s="1"/>
  <c r="BO82" i="167"/>
  <c r="BP82" i="167" s="1"/>
  <c r="BT80" i="167"/>
  <c r="A111" i="101"/>
  <c r="W110" i="101"/>
  <c r="B43" i="168"/>
  <c r="D43" i="168" s="1"/>
  <c r="E43" i="168"/>
  <c r="C43" i="168"/>
  <c r="J43" i="168"/>
  <c r="L43" i="168" s="1"/>
  <c r="H42" i="168"/>
  <c r="G42" i="168"/>
  <c r="I42" i="168"/>
  <c r="F42" i="168"/>
  <c r="V42" i="168"/>
  <c r="O42" i="168"/>
  <c r="R42" i="168"/>
  <c r="U42" i="168"/>
  <c r="P42" i="168"/>
  <c r="AB42" i="168"/>
  <c r="X42" i="168"/>
  <c r="T42" i="168"/>
  <c r="W42" i="168"/>
  <c r="S42" i="168"/>
  <c r="N42" i="168"/>
  <c r="Q42" i="168"/>
  <c r="Y42" i="168"/>
  <c r="AA42" i="168"/>
  <c r="Z42" i="168"/>
  <c r="K42" i="168"/>
  <c r="M42" i="168" s="1"/>
  <c r="X50" i="101"/>
  <c r="V51" i="101"/>
  <c r="B50" i="101"/>
  <c r="C50" i="101"/>
  <c r="P51" i="101"/>
  <c r="Y50" i="101"/>
  <c r="A44" i="168"/>
  <c r="AD55" i="167"/>
  <c r="AD35" i="167"/>
  <c r="AD15" i="167"/>
  <c r="AN55" i="167"/>
  <c r="AN15" i="167"/>
  <c r="BO78" i="167" l="1"/>
  <c r="BQ78" i="167" s="1"/>
  <c r="BO80" i="167"/>
  <c r="BO79" i="167"/>
  <c r="BO77" i="167"/>
  <c r="A112" i="101"/>
  <c r="W111" i="101"/>
  <c r="G43" i="168"/>
  <c r="F43" i="168"/>
  <c r="H43" i="168"/>
  <c r="I43" i="168"/>
  <c r="X51" i="101"/>
  <c r="P52" i="101"/>
  <c r="Y51" i="101"/>
  <c r="C51" i="101"/>
  <c r="V52" i="101"/>
  <c r="B51" i="101"/>
  <c r="A45" i="168"/>
  <c r="E44" i="168"/>
  <c r="C44" i="168"/>
  <c r="B44" i="168"/>
  <c r="D44" i="168" s="1"/>
  <c r="J44" i="168"/>
  <c r="L44" i="168" s="1"/>
  <c r="N43" i="168"/>
  <c r="U43" i="168"/>
  <c r="W43" i="168"/>
  <c r="K43" i="168"/>
  <c r="M43" i="168" s="1"/>
  <c r="S43" i="168"/>
  <c r="Q43" i="168"/>
  <c r="Z43" i="168"/>
  <c r="V43" i="168"/>
  <c r="P43" i="168"/>
  <c r="X43" i="168"/>
  <c r="O43" i="168"/>
  <c r="T43" i="168"/>
  <c r="Y43" i="168"/>
  <c r="R43" i="168"/>
  <c r="AA43" i="168"/>
  <c r="AB43" i="168"/>
  <c r="AN75" i="167"/>
  <c r="AD75" i="167"/>
  <c r="BP78" i="167" l="1"/>
  <c r="BQ77" i="167"/>
  <c r="BP77" i="167"/>
  <c r="BQ79" i="167"/>
  <c r="BP79" i="167"/>
  <c r="BQ80" i="167"/>
  <c r="BP80" i="167"/>
  <c r="A113" i="101"/>
  <c r="W112" i="101"/>
  <c r="S44" i="168"/>
  <c r="R44" i="168"/>
  <c r="X44" i="168"/>
  <c r="Q44" i="168"/>
  <c r="AB44" i="168"/>
  <c r="V44" i="168"/>
  <c r="W44" i="168"/>
  <c r="N44" i="168"/>
  <c r="U44" i="168"/>
  <c r="O44" i="168"/>
  <c r="Z44" i="168"/>
  <c r="AA44" i="168"/>
  <c r="K44" i="168"/>
  <c r="M44" i="168" s="1"/>
  <c r="Y44" i="168"/>
  <c r="T44" i="168"/>
  <c r="P44" i="168"/>
  <c r="I44" i="168"/>
  <c r="G44" i="168"/>
  <c r="F44" i="168"/>
  <c r="H44" i="168"/>
  <c r="C45" i="168"/>
  <c r="E45" i="168"/>
  <c r="B45" i="168"/>
  <c r="D45" i="168" s="1"/>
  <c r="J45" i="168"/>
  <c r="L45" i="168" s="1"/>
  <c r="Y52" i="101"/>
  <c r="A46" i="168"/>
  <c r="C52" i="101"/>
  <c r="B52" i="101"/>
  <c r="V53" i="101"/>
  <c r="P53" i="101"/>
  <c r="X52" i="101"/>
  <c r="A114" i="101" l="1"/>
  <c r="W113" i="101"/>
  <c r="X45" i="168"/>
  <c r="U45" i="168"/>
  <c r="Y45" i="168"/>
  <c r="O45" i="168"/>
  <c r="N45" i="168"/>
  <c r="Z45" i="168"/>
  <c r="S45" i="168"/>
  <c r="R45" i="168"/>
  <c r="AA45" i="168"/>
  <c r="W45" i="168"/>
  <c r="V45" i="168"/>
  <c r="AB45" i="168"/>
  <c r="T45" i="168"/>
  <c r="P45" i="168"/>
  <c r="Q45" i="168"/>
  <c r="K45" i="168"/>
  <c r="M45" i="168" s="1"/>
  <c r="I45" i="168"/>
  <c r="H45" i="168"/>
  <c r="F45" i="168"/>
  <c r="G45" i="168"/>
  <c r="J46" i="168"/>
  <c r="L46" i="168" s="1"/>
  <c r="C46" i="168"/>
  <c r="E46" i="168"/>
  <c r="B46" i="168"/>
  <c r="D46" i="168" s="1"/>
  <c r="B53" i="101"/>
  <c r="P54" i="101"/>
  <c r="A47" i="168"/>
  <c r="X53" i="101"/>
  <c r="Y53" i="101"/>
  <c r="C53" i="101"/>
  <c r="V54" i="101"/>
  <c r="A115" i="101" l="1"/>
  <c r="W114" i="101"/>
  <c r="O46" i="168"/>
  <c r="N46" i="168"/>
  <c r="U46" i="168"/>
  <c r="S46" i="168"/>
  <c r="AA46" i="168"/>
  <c r="Q46" i="168"/>
  <c r="Y46" i="168"/>
  <c r="Z46" i="168"/>
  <c r="X46" i="168"/>
  <c r="T46" i="168"/>
  <c r="P46" i="168"/>
  <c r="AB46" i="168"/>
  <c r="V46" i="168"/>
  <c r="W46" i="168"/>
  <c r="R46" i="168"/>
  <c r="K46" i="168"/>
  <c r="M46" i="168" s="1"/>
  <c r="G46" i="168"/>
  <c r="F46" i="168"/>
  <c r="H46" i="168"/>
  <c r="I46" i="168"/>
  <c r="C47" i="168"/>
  <c r="J47" i="168"/>
  <c r="L47" i="168" s="1"/>
  <c r="B47" i="168"/>
  <c r="D47" i="168" s="1"/>
  <c r="E47" i="168"/>
  <c r="P55" i="101"/>
  <c r="X54" i="101"/>
  <c r="V55" i="101"/>
  <c r="A48" i="168"/>
  <c r="C54" i="101"/>
  <c r="Y54" i="101"/>
  <c r="B54" i="101"/>
  <c r="A116" i="101" l="1"/>
  <c r="W115" i="101"/>
  <c r="Z47" i="168"/>
  <c r="Q47" i="168"/>
  <c r="X47" i="168"/>
  <c r="W47" i="168"/>
  <c r="O47" i="168"/>
  <c r="N47" i="168"/>
  <c r="U47" i="168"/>
  <c r="T47" i="168"/>
  <c r="K47" i="168"/>
  <c r="M47" i="168" s="1"/>
  <c r="Y47" i="168"/>
  <c r="AA47" i="168"/>
  <c r="V47" i="168"/>
  <c r="S47" i="168"/>
  <c r="R47" i="168"/>
  <c r="AB47" i="168"/>
  <c r="P47" i="168"/>
  <c r="G47" i="168"/>
  <c r="H47" i="168"/>
  <c r="F47" i="168"/>
  <c r="I47" i="168"/>
  <c r="C48" i="168"/>
  <c r="J48" i="168"/>
  <c r="L48" i="168" s="1"/>
  <c r="E48" i="168"/>
  <c r="B48" i="168"/>
  <c r="D48" i="168" s="1"/>
  <c r="X55" i="101"/>
  <c r="A49" i="168"/>
  <c r="C55" i="101"/>
  <c r="Y55" i="101"/>
  <c r="V56" i="101"/>
  <c r="P56" i="101"/>
  <c r="B55" i="101"/>
  <c r="A117" i="101" l="1"/>
  <c r="W116" i="101"/>
  <c r="A50" i="168"/>
  <c r="P57" i="101"/>
  <c r="Y56" i="101"/>
  <c r="X56" i="101"/>
  <c r="B56" i="101"/>
  <c r="V57" i="101"/>
  <c r="C56" i="101"/>
  <c r="Q48" i="168"/>
  <c r="X48" i="168"/>
  <c r="AB48" i="168"/>
  <c r="P48" i="168"/>
  <c r="K48" i="168"/>
  <c r="M48" i="168" s="1"/>
  <c r="Y48" i="168"/>
  <c r="N48" i="168"/>
  <c r="O48" i="168"/>
  <c r="AA48" i="168"/>
  <c r="W48" i="168"/>
  <c r="R48" i="168"/>
  <c r="Z48" i="168"/>
  <c r="S48" i="168"/>
  <c r="U48" i="168"/>
  <c r="V48" i="168"/>
  <c r="T48" i="168"/>
  <c r="G48" i="168"/>
  <c r="F48" i="168"/>
  <c r="I48" i="168"/>
  <c r="H48" i="168"/>
  <c r="E49" i="168"/>
  <c r="J49" i="168"/>
  <c r="L49" i="168" s="1"/>
  <c r="B49" i="168"/>
  <c r="D49" i="168" s="1"/>
  <c r="C49" i="168"/>
  <c r="A118" i="101" l="1"/>
  <c r="W117" i="101"/>
  <c r="Q49" i="168"/>
  <c r="Z49" i="168"/>
  <c r="AA49" i="168"/>
  <c r="O49" i="168"/>
  <c r="S49" i="168"/>
  <c r="N49" i="168"/>
  <c r="AB49" i="168"/>
  <c r="X49" i="168"/>
  <c r="W49" i="168"/>
  <c r="V49" i="168"/>
  <c r="T49" i="168"/>
  <c r="K49" i="168"/>
  <c r="M49" i="168" s="1"/>
  <c r="R49" i="168"/>
  <c r="U49" i="168"/>
  <c r="Y49" i="168"/>
  <c r="P49" i="168"/>
  <c r="F49" i="168"/>
  <c r="G49" i="168"/>
  <c r="I49" i="168"/>
  <c r="H49" i="168"/>
  <c r="V58" i="101"/>
  <c r="Y57" i="101"/>
  <c r="C57" i="101"/>
  <c r="P58" i="101"/>
  <c r="B57" i="101"/>
  <c r="A51" i="168"/>
  <c r="X57" i="101"/>
  <c r="E50" i="168"/>
  <c r="B50" i="168"/>
  <c r="D50" i="168" s="1"/>
  <c r="C50" i="168"/>
  <c r="J50" i="168"/>
  <c r="L50" i="168" s="1"/>
  <c r="A119" i="101" l="1"/>
  <c r="W118" i="101"/>
  <c r="Z50" i="168"/>
  <c r="V50" i="168"/>
  <c r="X50" i="168"/>
  <c r="P50" i="168"/>
  <c r="Q50" i="168"/>
  <c r="K50" i="168"/>
  <c r="M50" i="168" s="1"/>
  <c r="O50" i="168"/>
  <c r="W50" i="168"/>
  <c r="AA50" i="168"/>
  <c r="Y50" i="168"/>
  <c r="T50" i="168"/>
  <c r="U50" i="168"/>
  <c r="AB50" i="168"/>
  <c r="R50" i="168"/>
  <c r="N50" i="168"/>
  <c r="S50" i="168"/>
  <c r="E51" i="168"/>
  <c r="B51" i="168"/>
  <c r="D51" i="168" s="1"/>
  <c r="C51" i="168"/>
  <c r="J51" i="168"/>
  <c r="L51" i="168" s="1"/>
  <c r="F50" i="168"/>
  <c r="I50" i="168"/>
  <c r="H50" i="168"/>
  <c r="G50" i="168"/>
  <c r="X58" i="101"/>
  <c r="B58" i="101"/>
  <c r="C58" i="101"/>
  <c r="Y58" i="101"/>
  <c r="V59" i="101"/>
  <c r="P59" i="101"/>
  <c r="A52" i="168"/>
  <c r="A120" i="101" l="1"/>
  <c r="W119" i="101"/>
  <c r="F51" i="168"/>
  <c r="I51" i="168"/>
  <c r="H51" i="168"/>
  <c r="G51" i="168"/>
  <c r="X51" i="168"/>
  <c r="AA51" i="168"/>
  <c r="U51" i="168"/>
  <c r="O51" i="168"/>
  <c r="S51" i="168"/>
  <c r="Y51" i="168"/>
  <c r="T51" i="168"/>
  <c r="V51" i="168"/>
  <c r="Q51" i="168"/>
  <c r="W51" i="168"/>
  <c r="Z51" i="168"/>
  <c r="P51" i="168"/>
  <c r="R51" i="168"/>
  <c r="K51" i="168"/>
  <c r="M51" i="168" s="1"/>
  <c r="AB51" i="168"/>
  <c r="N51" i="168"/>
  <c r="V60" i="101"/>
  <c r="C59" i="101"/>
  <c r="P60" i="101"/>
  <c r="B59" i="101"/>
  <c r="X59" i="101"/>
  <c r="Y59" i="101"/>
  <c r="A53" i="168"/>
  <c r="C52" i="168"/>
  <c r="E52" i="168"/>
  <c r="J52" i="168"/>
  <c r="L52" i="168" s="1"/>
  <c r="B52" i="168"/>
  <c r="D52" i="168" s="1"/>
  <c r="W120" i="101" l="1"/>
  <c r="A10" i="172"/>
  <c r="H52" i="168"/>
  <c r="G52" i="168"/>
  <c r="F52" i="168"/>
  <c r="I52" i="168"/>
  <c r="B53" i="168"/>
  <c r="D53" i="168" s="1"/>
  <c r="C53" i="168"/>
  <c r="E53" i="168"/>
  <c r="J53" i="168"/>
  <c r="L53" i="168" s="1"/>
  <c r="V61" i="101"/>
  <c r="C60" i="101"/>
  <c r="B60" i="101"/>
  <c r="X60" i="101"/>
  <c r="P61" i="101"/>
  <c r="Y60" i="101"/>
  <c r="A54" i="168"/>
  <c r="U52" i="168"/>
  <c r="O52" i="168"/>
  <c r="AA52" i="168"/>
  <c r="Q52" i="168"/>
  <c r="T52" i="168"/>
  <c r="N52" i="168"/>
  <c r="R52" i="168"/>
  <c r="Z52" i="168"/>
  <c r="V52" i="168"/>
  <c r="S52" i="168"/>
  <c r="Y52" i="168"/>
  <c r="P52" i="168"/>
  <c r="X52" i="168"/>
  <c r="AB52" i="168"/>
  <c r="W52" i="168"/>
  <c r="K52" i="168"/>
  <c r="M52" i="168" s="1"/>
  <c r="A11" i="172" l="1"/>
  <c r="A12" i="172" s="1"/>
  <c r="A13" i="172" s="1"/>
  <c r="A14" i="172" s="1"/>
  <c r="A15" i="172" s="1"/>
  <c r="A16" i="172" s="1"/>
  <c r="A17" i="172" s="1"/>
  <c r="A18" i="172" s="1"/>
  <c r="A19" i="172" s="1"/>
  <c r="A20" i="172" s="1"/>
  <c r="A21" i="172" s="1"/>
  <c r="A22" i="172" s="1"/>
  <c r="A23" i="172" s="1"/>
  <c r="A24" i="172" s="1"/>
  <c r="A25" i="172" s="1"/>
  <c r="A26" i="172" s="1"/>
  <c r="A27" i="172" s="1"/>
  <c r="A28" i="172" s="1"/>
  <c r="A29" i="172" s="1"/>
  <c r="A30" i="172" s="1"/>
  <c r="A31" i="172" s="1"/>
  <c r="A32" i="172" s="1"/>
  <c r="A33" i="172" s="1"/>
  <c r="A34" i="172" s="1"/>
  <c r="A35" i="172" s="1"/>
  <c r="A36" i="172" s="1"/>
  <c r="A37" i="172" s="1"/>
  <c r="A38" i="172" s="1"/>
  <c r="A39" i="172" s="1"/>
  <c r="A40" i="172" s="1"/>
  <c r="A41" i="172" s="1"/>
  <c r="A42" i="172" s="1"/>
  <c r="A43" i="172" s="1"/>
  <c r="A44" i="172" s="1"/>
  <c r="A45" i="172" s="1"/>
  <c r="A46" i="172" s="1"/>
  <c r="A47" i="172" s="1"/>
  <c r="A48" i="172" s="1"/>
  <c r="A49" i="172" s="1"/>
  <c r="A50" i="172" s="1"/>
  <c r="A51" i="172" s="1"/>
  <c r="A52" i="172" s="1"/>
  <c r="A53" i="172" s="1"/>
  <c r="A54" i="172" s="1"/>
  <c r="A55" i="172" s="1"/>
  <c r="A56" i="172" s="1"/>
  <c r="A57" i="172" s="1"/>
  <c r="A58" i="172" s="1"/>
  <c r="A59" i="172" s="1"/>
  <c r="A60" i="172" s="1"/>
  <c r="A61" i="172" s="1"/>
  <c r="A62" i="172" s="1"/>
  <c r="A63" i="172" s="1"/>
  <c r="A64" i="172" s="1"/>
  <c r="A65" i="172" s="1"/>
  <c r="A66" i="172" s="1"/>
  <c r="A67" i="172" s="1"/>
  <c r="A68" i="172" s="1"/>
  <c r="A69" i="172" s="1"/>
  <c r="A70" i="172" s="1"/>
  <c r="A71" i="172" s="1"/>
  <c r="A72" i="172" s="1"/>
  <c r="A73" i="172" s="1"/>
  <c r="A74" i="172" s="1"/>
  <c r="A75" i="172" s="1"/>
  <c r="A76" i="172" s="1"/>
  <c r="A77" i="172" s="1"/>
  <c r="A78" i="172" s="1"/>
  <c r="A79" i="172" s="1"/>
  <c r="A80" i="172" s="1"/>
  <c r="A81" i="172" s="1"/>
  <c r="A82" i="172" s="1"/>
  <c r="A83" i="172" s="1"/>
  <c r="A84" i="172" s="1"/>
  <c r="A85" i="172" s="1"/>
  <c r="A86" i="172" s="1"/>
  <c r="A87" i="172" s="1"/>
  <c r="A88" i="172" s="1"/>
  <c r="A89" i="172" s="1"/>
  <c r="A90" i="172" s="1"/>
  <c r="A91" i="172" s="1"/>
  <c r="A92" i="172" s="1"/>
  <c r="A93" i="172" s="1"/>
  <c r="A94" i="172" s="1"/>
  <c r="A95" i="172" s="1"/>
  <c r="A96" i="172" s="1"/>
  <c r="A97" i="172" s="1"/>
  <c r="A98" i="172" s="1"/>
  <c r="A99" i="172" s="1"/>
  <c r="A100" i="172" s="1"/>
  <c r="A101" i="172" s="1"/>
  <c r="A102" i="172" s="1"/>
  <c r="A103" i="172" s="1"/>
  <c r="A104" i="172" s="1"/>
  <c r="A105" i="172" s="1"/>
  <c r="A106" i="172" s="1"/>
  <c r="A107" i="172" s="1"/>
  <c r="A108" i="172" s="1"/>
  <c r="A109" i="172" s="1"/>
  <c r="A110" i="172" s="1"/>
  <c r="A111" i="172" s="1"/>
  <c r="A112" i="172" s="1"/>
  <c r="A113" i="172" s="1"/>
  <c r="A114" i="172" s="1"/>
  <c r="A115" i="172" s="1"/>
  <c r="A116" i="172" s="1"/>
  <c r="A117" i="172" s="1"/>
  <c r="A118" i="172" s="1"/>
  <c r="A119" i="172" s="1"/>
  <c r="A120" i="172" s="1"/>
  <c r="A121" i="172" s="1"/>
  <c r="A122" i="172" s="1"/>
  <c r="A123" i="172" s="1"/>
  <c r="A124" i="172" s="1"/>
  <c r="A125" i="172" s="1"/>
  <c r="A126" i="172" s="1"/>
  <c r="A127" i="172" s="1"/>
  <c r="A128" i="172" s="1"/>
  <c r="A129" i="172" s="1"/>
  <c r="A130" i="172" s="1"/>
  <c r="A131" i="172" s="1"/>
  <c r="A132" i="172" s="1"/>
  <c r="A133" i="172" s="1"/>
  <c r="A134" i="172" s="1"/>
  <c r="A135" i="172" s="1"/>
  <c r="A136" i="172" s="1"/>
  <c r="A137" i="172" s="1"/>
  <c r="A138" i="172" s="1"/>
  <c r="A139" i="172" s="1"/>
  <c r="C54" i="168"/>
  <c r="E54" i="168"/>
  <c r="B54" i="168"/>
  <c r="D54" i="168" s="1"/>
  <c r="J54" i="168"/>
  <c r="L54" i="168" s="1"/>
  <c r="F53" i="168"/>
  <c r="I53" i="168"/>
  <c r="G53" i="168"/>
  <c r="H53" i="168"/>
  <c r="Z53" i="168"/>
  <c r="P53" i="168"/>
  <c r="W53" i="168"/>
  <c r="V53" i="168"/>
  <c r="O53" i="168"/>
  <c r="Q53" i="168"/>
  <c r="U53" i="168"/>
  <c r="R53" i="168"/>
  <c r="K53" i="168"/>
  <c r="M53" i="168" s="1"/>
  <c r="X53" i="168"/>
  <c r="AB53" i="168"/>
  <c r="T53" i="168"/>
  <c r="N53" i="168"/>
  <c r="Y53" i="168"/>
  <c r="AA53" i="168"/>
  <c r="S53" i="168"/>
  <c r="P62" i="101"/>
  <c r="V62" i="101"/>
  <c r="Y61" i="101"/>
  <c r="A55" i="168"/>
  <c r="X61" i="101"/>
  <c r="C61" i="101"/>
  <c r="B61" i="101"/>
  <c r="X54" i="168" l="1"/>
  <c r="N54" i="168"/>
  <c r="K54" i="168"/>
  <c r="M54" i="168" s="1"/>
  <c r="S54" i="168"/>
  <c r="Z54" i="168"/>
  <c r="Y54" i="168"/>
  <c r="W54" i="168"/>
  <c r="AA54" i="168"/>
  <c r="P54" i="168"/>
  <c r="O54" i="168"/>
  <c r="U54" i="168"/>
  <c r="Q54" i="168"/>
  <c r="T54" i="168"/>
  <c r="R54" i="168"/>
  <c r="AB54" i="168"/>
  <c r="V54" i="168"/>
  <c r="C55" i="168"/>
  <c r="E55" i="168"/>
  <c r="B55" i="168"/>
  <c r="D55" i="168" s="1"/>
  <c r="J55" i="168"/>
  <c r="L55" i="168" s="1"/>
  <c r="X62" i="101"/>
  <c r="A56" i="168"/>
  <c r="Y62" i="101"/>
  <c r="V63" i="101"/>
  <c r="P63" i="101"/>
  <c r="B62" i="101"/>
  <c r="C62" i="101"/>
  <c r="H54" i="168"/>
  <c r="F54" i="168"/>
  <c r="I54" i="168"/>
  <c r="G54" i="168"/>
  <c r="J56" i="168" l="1"/>
  <c r="L56" i="168" s="1"/>
  <c r="E56" i="168"/>
  <c r="C56" i="168"/>
  <c r="B56" i="168"/>
  <c r="D56" i="168" s="1"/>
  <c r="Y63" i="101"/>
  <c r="X63" i="101"/>
  <c r="C63" i="101"/>
  <c r="B63" i="101"/>
  <c r="V64" i="101"/>
  <c r="P64" i="101"/>
  <c r="A57" i="168"/>
  <c r="X55" i="168"/>
  <c r="Q55" i="168"/>
  <c r="S55" i="168"/>
  <c r="Z55" i="168"/>
  <c r="W55" i="168"/>
  <c r="N55" i="168"/>
  <c r="R55" i="168"/>
  <c r="T55" i="168"/>
  <c r="AB55" i="168"/>
  <c r="AA55" i="168"/>
  <c r="Y55" i="168"/>
  <c r="P55" i="168"/>
  <c r="K55" i="168"/>
  <c r="M55" i="168" s="1"/>
  <c r="O55" i="168"/>
  <c r="U55" i="168"/>
  <c r="V55" i="168"/>
  <c r="H55" i="168"/>
  <c r="I55" i="168"/>
  <c r="F55" i="168"/>
  <c r="G55" i="168"/>
  <c r="J57" i="168" l="1"/>
  <c r="L57" i="168" s="1"/>
  <c r="C57" i="168"/>
  <c r="E57" i="168"/>
  <c r="B57" i="168"/>
  <c r="D57" i="168" s="1"/>
  <c r="P65" i="101"/>
  <c r="V65" i="101"/>
  <c r="X64" i="101"/>
  <c r="C64" i="101"/>
  <c r="Y64" i="101"/>
  <c r="A58" i="168"/>
  <c r="B64" i="101"/>
  <c r="P56" i="168"/>
  <c r="Y56" i="168"/>
  <c r="K56" i="168"/>
  <c r="M56" i="168" s="1"/>
  <c r="S56" i="168"/>
  <c r="V56" i="168"/>
  <c r="Z56" i="168"/>
  <c r="N56" i="168"/>
  <c r="W56" i="168"/>
  <c r="T56" i="168"/>
  <c r="O56" i="168"/>
  <c r="R56" i="168"/>
  <c r="X56" i="168"/>
  <c r="AA56" i="168"/>
  <c r="U56" i="168"/>
  <c r="Q56" i="168"/>
  <c r="AB56" i="168"/>
  <c r="F56" i="168"/>
  <c r="I56" i="168"/>
  <c r="H56" i="168"/>
  <c r="G56" i="168"/>
  <c r="B65" i="101" l="1"/>
  <c r="P66" i="101"/>
  <c r="Y65" i="101"/>
  <c r="C65" i="101"/>
  <c r="X65" i="101"/>
  <c r="V66" i="101"/>
  <c r="A59" i="168"/>
  <c r="T57" i="168"/>
  <c r="O57" i="168"/>
  <c r="R57" i="168"/>
  <c r="AB57" i="168"/>
  <c r="X57" i="168"/>
  <c r="Z57" i="168"/>
  <c r="S57" i="168"/>
  <c r="P57" i="168"/>
  <c r="AA57" i="168"/>
  <c r="W57" i="168"/>
  <c r="N57" i="168"/>
  <c r="Q57" i="168"/>
  <c r="V57" i="168"/>
  <c r="U57" i="168"/>
  <c r="Y57" i="168"/>
  <c r="K57" i="168"/>
  <c r="M57" i="168" s="1"/>
  <c r="C58" i="168"/>
  <c r="B58" i="168"/>
  <c r="D58" i="168" s="1"/>
  <c r="E58" i="168"/>
  <c r="J58" i="168"/>
  <c r="L58" i="168" s="1"/>
  <c r="G57" i="168"/>
  <c r="I57" i="168"/>
  <c r="H57" i="168"/>
  <c r="F57" i="168"/>
  <c r="O58" i="168" l="1"/>
  <c r="W58" i="168"/>
  <c r="N58" i="168"/>
  <c r="S58" i="168"/>
  <c r="U58" i="168"/>
  <c r="R58" i="168"/>
  <c r="AA58" i="168"/>
  <c r="AB58" i="168"/>
  <c r="V58" i="168"/>
  <c r="P58" i="168"/>
  <c r="Z58" i="168"/>
  <c r="X58" i="168"/>
  <c r="Q58" i="168"/>
  <c r="K58" i="168"/>
  <c r="M58" i="168" s="1"/>
  <c r="T58" i="168"/>
  <c r="Y58" i="168"/>
  <c r="B66" i="101"/>
  <c r="C66" i="101"/>
  <c r="A60" i="168"/>
  <c r="X66" i="101"/>
  <c r="Y66" i="101"/>
  <c r="P67" i="101"/>
  <c r="V67" i="101"/>
  <c r="F58" i="168"/>
  <c r="I58" i="168"/>
  <c r="H58" i="168"/>
  <c r="G58" i="168"/>
  <c r="C59" i="168"/>
  <c r="E59" i="168"/>
  <c r="B59" i="168"/>
  <c r="D59" i="168" s="1"/>
  <c r="J59" i="168"/>
  <c r="L59" i="168" s="1"/>
  <c r="S59" i="168" l="1"/>
  <c r="Q59" i="168"/>
  <c r="T59" i="168"/>
  <c r="Z59" i="168"/>
  <c r="V59" i="168"/>
  <c r="Y59" i="168"/>
  <c r="U59" i="168"/>
  <c r="R59" i="168"/>
  <c r="O59" i="168"/>
  <c r="AB59" i="168"/>
  <c r="P59" i="168"/>
  <c r="N59" i="168"/>
  <c r="AA59" i="168"/>
  <c r="W59" i="168"/>
  <c r="X59" i="168"/>
  <c r="K59" i="168"/>
  <c r="M59" i="168" s="1"/>
  <c r="X67" i="101"/>
  <c r="C67" i="101"/>
  <c r="B67" i="101"/>
  <c r="P68" i="101"/>
  <c r="V68" i="101"/>
  <c r="Y67" i="101"/>
  <c r="A61" i="168"/>
  <c r="I59" i="168"/>
  <c r="H59" i="168"/>
  <c r="F59" i="168"/>
  <c r="G59" i="168"/>
  <c r="C60" i="168"/>
  <c r="E60" i="168"/>
  <c r="J60" i="168"/>
  <c r="L60" i="168" s="1"/>
  <c r="B60" i="168"/>
  <c r="D60" i="168" s="1"/>
  <c r="V69" i="101" l="1"/>
  <c r="C68" i="101"/>
  <c r="B68" i="101"/>
  <c r="P69" i="101"/>
  <c r="A62" i="168"/>
  <c r="X68" i="101"/>
  <c r="Y68" i="101"/>
  <c r="I60" i="168"/>
  <c r="G60" i="168"/>
  <c r="F60" i="168"/>
  <c r="H60" i="168"/>
  <c r="O60" i="168"/>
  <c r="W60" i="168"/>
  <c r="U60" i="168"/>
  <c r="Y60" i="168"/>
  <c r="T60" i="168"/>
  <c r="Q60" i="168"/>
  <c r="R60" i="168"/>
  <c r="N60" i="168"/>
  <c r="V60" i="168"/>
  <c r="X60" i="168"/>
  <c r="AB60" i="168"/>
  <c r="P60" i="168"/>
  <c r="S60" i="168"/>
  <c r="AA60" i="168"/>
  <c r="Z60" i="168"/>
  <c r="K60" i="168"/>
  <c r="M60" i="168" s="1"/>
  <c r="E61" i="168"/>
  <c r="B61" i="168"/>
  <c r="D61" i="168" s="1"/>
  <c r="C61" i="168"/>
  <c r="J61" i="168"/>
  <c r="L61" i="168" s="1"/>
  <c r="F61" i="168" l="1"/>
  <c r="G61" i="168"/>
  <c r="I61" i="168"/>
  <c r="H61" i="168"/>
  <c r="B69" i="101"/>
  <c r="X69" i="101"/>
  <c r="V70" i="101"/>
  <c r="Y69" i="101"/>
  <c r="C69" i="101"/>
  <c r="P70" i="101"/>
  <c r="A63" i="168"/>
  <c r="C62" i="168"/>
  <c r="J62" i="168"/>
  <c r="L62" i="168" s="1"/>
  <c r="E62" i="168"/>
  <c r="B62" i="168"/>
  <c r="D62" i="168" s="1"/>
  <c r="U61" i="168"/>
  <c r="O61" i="168"/>
  <c r="Z61" i="168"/>
  <c r="Q61" i="168"/>
  <c r="T61" i="168"/>
  <c r="V61" i="168"/>
  <c r="Y61" i="168"/>
  <c r="AA61" i="168"/>
  <c r="S61" i="168"/>
  <c r="K61" i="168"/>
  <c r="M61" i="168" s="1"/>
  <c r="R61" i="168"/>
  <c r="X61" i="168"/>
  <c r="N61" i="168"/>
  <c r="P61" i="168"/>
  <c r="W61" i="168"/>
  <c r="AB61" i="168"/>
  <c r="I62" i="168" l="1"/>
  <c r="G62" i="168"/>
  <c r="F62" i="168"/>
  <c r="H62" i="168"/>
  <c r="B70" i="101"/>
  <c r="Y70" i="101"/>
  <c r="P71" i="101"/>
  <c r="V71" i="101"/>
  <c r="C70" i="101"/>
  <c r="X70" i="101"/>
  <c r="A64" i="168"/>
  <c r="B63" i="168"/>
  <c r="D63" i="168" s="1"/>
  <c r="E63" i="168"/>
  <c r="C63" i="168"/>
  <c r="J63" i="168"/>
  <c r="L63" i="168" s="1"/>
  <c r="AB62" i="168"/>
  <c r="Z62" i="168"/>
  <c r="K62" i="168"/>
  <c r="M62" i="168" s="1"/>
  <c r="W62" i="168"/>
  <c r="Y62" i="168"/>
  <c r="Q62" i="168"/>
  <c r="P62" i="168"/>
  <c r="R62" i="168"/>
  <c r="AA62" i="168"/>
  <c r="T62" i="168"/>
  <c r="X62" i="168"/>
  <c r="O62" i="168"/>
  <c r="U62" i="168"/>
  <c r="N62" i="168"/>
  <c r="V62" i="168"/>
  <c r="S62" i="168"/>
  <c r="X63" i="168" l="1"/>
  <c r="U63" i="168"/>
  <c r="O63" i="168"/>
  <c r="R63" i="168"/>
  <c r="T63" i="168"/>
  <c r="P63" i="168"/>
  <c r="AA63" i="168"/>
  <c r="W63" i="168"/>
  <c r="N63" i="168"/>
  <c r="K63" i="168"/>
  <c r="M63" i="168" s="1"/>
  <c r="S63" i="168"/>
  <c r="Q63" i="168"/>
  <c r="V63" i="168"/>
  <c r="AB63" i="168"/>
  <c r="Y63" i="168"/>
  <c r="Z63" i="168"/>
  <c r="H63" i="168"/>
  <c r="F63" i="168"/>
  <c r="G63" i="168"/>
  <c r="I63" i="168"/>
  <c r="C71" i="101"/>
  <c r="X71" i="101"/>
  <c r="B71" i="101"/>
  <c r="P72" i="101"/>
  <c r="V72" i="101"/>
  <c r="Y71" i="101"/>
  <c r="A65" i="168"/>
  <c r="C64" i="168"/>
  <c r="E64" i="168"/>
  <c r="B64" i="168"/>
  <c r="D64" i="168" s="1"/>
  <c r="J64" i="168"/>
  <c r="L64" i="168" s="1"/>
  <c r="C65" i="168" l="1"/>
  <c r="B65" i="168"/>
  <c r="D65" i="168" s="1"/>
  <c r="E65" i="168"/>
  <c r="J65" i="168"/>
  <c r="L65" i="168" s="1"/>
  <c r="N64" i="168"/>
  <c r="T64" i="168"/>
  <c r="Z64" i="168"/>
  <c r="AA64" i="168"/>
  <c r="Q64" i="168"/>
  <c r="Y64" i="168"/>
  <c r="V64" i="168"/>
  <c r="AB64" i="168"/>
  <c r="U64" i="168"/>
  <c r="X64" i="168"/>
  <c r="O64" i="168"/>
  <c r="W64" i="168"/>
  <c r="R64" i="168"/>
  <c r="P64" i="168"/>
  <c r="S64" i="168"/>
  <c r="K64" i="168"/>
  <c r="M64" i="168" s="1"/>
  <c r="H64" i="168"/>
  <c r="G64" i="168"/>
  <c r="F64" i="168"/>
  <c r="I64" i="168"/>
  <c r="B72" i="101"/>
  <c r="P73" i="101"/>
  <c r="V73" i="101"/>
  <c r="C72" i="101"/>
  <c r="X72" i="101"/>
  <c r="Y72" i="101"/>
  <c r="A66" i="168"/>
  <c r="E66" i="168" l="1"/>
  <c r="C66" i="168"/>
  <c r="B66" i="168"/>
  <c r="D66" i="168" s="1"/>
  <c r="J66" i="168"/>
  <c r="L66" i="168" s="1"/>
  <c r="V65" i="168"/>
  <c r="Q65" i="168"/>
  <c r="R65" i="168"/>
  <c r="U65" i="168"/>
  <c r="Z65" i="168"/>
  <c r="O65" i="168"/>
  <c r="N65" i="168"/>
  <c r="W65" i="168"/>
  <c r="AA65" i="168"/>
  <c r="T65" i="168"/>
  <c r="X65" i="168"/>
  <c r="P65" i="168"/>
  <c r="AB65" i="168"/>
  <c r="Y65" i="168"/>
  <c r="S65" i="168"/>
  <c r="K65" i="168"/>
  <c r="M65" i="168" s="1"/>
  <c r="Y73" i="101"/>
  <c r="V74" i="101"/>
  <c r="X73" i="101"/>
  <c r="C73" i="101"/>
  <c r="A67" i="168"/>
  <c r="B73" i="101"/>
  <c r="P74" i="101"/>
  <c r="H65" i="168"/>
  <c r="F65" i="168"/>
  <c r="G65" i="168"/>
  <c r="I65" i="168"/>
  <c r="C74" i="101" l="1"/>
  <c r="B74" i="101"/>
  <c r="X74" i="101"/>
  <c r="Y74" i="101"/>
  <c r="P75" i="101"/>
  <c r="V75" i="101"/>
  <c r="A68" i="168"/>
  <c r="AA66" i="168"/>
  <c r="R66" i="168"/>
  <c r="Z66" i="168"/>
  <c r="U66" i="168"/>
  <c r="S66" i="168"/>
  <c r="Y66" i="168"/>
  <c r="V66" i="168"/>
  <c r="N66" i="168"/>
  <c r="X66" i="168"/>
  <c r="Q66" i="168"/>
  <c r="AB66" i="168"/>
  <c r="T66" i="168"/>
  <c r="O66" i="168"/>
  <c r="P66" i="168"/>
  <c r="W66" i="168"/>
  <c r="K66" i="168"/>
  <c r="M66" i="168" s="1"/>
  <c r="G66" i="168"/>
  <c r="H66" i="168"/>
  <c r="F66" i="168"/>
  <c r="I66" i="168"/>
  <c r="B67" i="168"/>
  <c r="D67" i="168" s="1"/>
  <c r="J67" i="168"/>
  <c r="L67" i="168" s="1"/>
  <c r="C67" i="168"/>
  <c r="E67" i="168"/>
  <c r="C68" i="168" l="1"/>
  <c r="E68" i="168"/>
  <c r="J68" i="168"/>
  <c r="L68" i="168" s="1"/>
  <c r="B68" i="168"/>
  <c r="D68" i="168" s="1"/>
  <c r="N67" i="168"/>
  <c r="R67" i="168"/>
  <c r="AB67" i="168"/>
  <c r="AA67" i="168"/>
  <c r="Y67" i="168"/>
  <c r="W67" i="168"/>
  <c r="K67" i="168"/>
  <c r="M67" i="168" s="1"/>
  <c r="U67" i="168"/>
  <c r="S67" i="168"/>
  <c r="X67" i="168"/>
  <c r="P67" i="168"/>
  <c r="V67" i="168"/>
  <c r="O67" i="168"/>
  <c r="Z67" i="168"/>
  <c r="T67" i="168"/>
  <c r="Q67" i="168"/>
  <c r="H67" i="168"/>
  <c r="F67" i="168"/>
  <c r="G67" i="168"/>
  <c r="I67" i="168"/>
  <c r="B75" i="101"/>
  <c r="Y75" i="101"/>
  <c r="P76" i="101"/>
  <c r="X75" i="101"/>
  <c r="V76" i="101"/>
  <c r="C75" i="101"/>
  <c r="A69" i="168"/>
  <c r="B69" i="168" l="1"/>
  <c r="D69" i="168" s="1"/>
  <c r="E69" i="168"/>
  <c r="J69" i="168"/>
  <c r="L69" i="168" s="1"/>
  <c r="C69" i="168"/>
  <c r="S68" i="168"/>
  <c r="O68" i="168"/>
  <c r="N68" i="168"/>
  <c r="Q68" i="168"/>
  <c r="X68" i="168"/>
  <c r="V68" i="168"/>
  <c r="U68" i="168"/>
  <c r="AA68" i="168"/>
  <c r="T68" i="168"/>
  <c r="R68" i="168"/>
  <c r="P68" i="168"/>
  <c r="W68" i="168"/>
  <c r="Z68" i="168"/>
  <c r="AB68" i="168"/>
  <c r="Y68" i="168"/>
  <c r="K68" i="168"/>
  <c r="M68" i="168" s="1"/>
  <c r="P77" i="101"/>
  <c r="C76" i="101"/>
  <c r="X76" i="101"/>
  <c r="Y76" i="101"/>
  <c r="B76" i="101"/>
  <c r="V77" i="101"/>
  <c r="A70" i="168"/>
  <c r="G68" i="168"/>
  <c r="H68" i="168"/>
  <c r="I68" i="168"/>
  <c r="F68" i="168"/>
  <c r="B77" i="101" l="1"/>
  <c r="Y77" i="101"/>
  <c r="X77" i="101"/>
  <c r="C77" i="101"/>
  <c r="P78" i="101"/>
  <c r="V78" i="101"/>
  <c r="A71" i="168"/>
  <c r="G69" i="168"/>
  <c r="I69" i="168"/>
  <c r="H69" i="168"/>
  <c r="F69" i="168"/>
  <c r="C70" i="168"/>
  <c r="J70" i="168"/>
  <c r="L70" i="168" s="1"/>
  <c r="E70" i="168"/>
  <c r="B70" i="168"/>
  <c r="D70" i="168" s="1"/>
  <c r="Y69" i="168"/>
  <c r="P69" i="168"/>
  <c r="S69" i="168"/>
  <c r="AB69" i="168"/>
  <c r="R69" i="168"/>
  <c r="U69" i="168"/>
  <c r="AA69" i="168"/>
  <c r="V69" i="168"/>
  <c r="N69" i="168"/>
  <c r="T69" i="168"/>
  <c r="W69" i="168"/>
  <c r="Z69" i="168"/>
  <c r="O69" i="168"/>
  <c r="X69" i="168"/>
  <c r="Q69" i="168"/>
  <c r="K69" i="168"/>
  <c r="M69" i="168" s="1"/>
  <c r="E71" i="168" l="1"/>
  <c r="C71" i="168"/>
  <c r="B71" i="168"/>
  <c r="D71" i="168" s="1"/>
  <c r="J71" i="168"/>
  <c r="L71" i="168" s="1"/>
  <c r="G70" i="168"/>
  <c r="I70" i="168"/>
  <c r="F70" i="168"/>
  <c r="H70" i="168"/>
  <c r="P70" i="168"/>
  <c r="AA70" i="168"/>
  <c r="K70" i="168"/>
  <c r="M70" i="168" s="1"/>
  <c r="R70" i="168"/>
  <c r="Z70" i="168"/>
  <c r="U70" i="168"/>
  <c r="N70" i="168"/>
  <c r="W70" i="168"/>
  <c r="V70" i="168"/>
  <c r="S70" i="168"/>
  <c r="T70" i="168"/>
  <c r="X70" i="168"/>
  <c r="Y70" i="168"/>
  <c r="AB70" i="168"/>
  <c r="Q70" i="168"/>
  <c r="O70" i="168"/>
  <c r="Y78" i="101"/>
  <c r="C78" i="101"/>
  <c r="V79" i="101"/>
  <c r="B78" i="101"/>
  <c r="P79" i="101"/>
  <c r="X78" i="101"/>
  <c r="A72" i="168"/>
  <c r="AB71" i="168" l="1"/>
  <c r="Y71" i="168"/>
  <c r="S71" i="168"/>
  <c r="R71" i="168"/>
  <c r="W71" i="168"/>
  <c r="T71" i="168"/>
  <c r="V71" i="168"/>
  <c r="N71" i="168"/>
  <c r="U71" i="168"/>
  <c r="Z71" i="168"/>
  <c r="O71" i="168"/>
  <c r="P71" i="168"/>
  <c r="AA71" i="168"/>
  <c r="X71" i="168"/>
  <c r="Q71" i="168"/>
  <c r="K71" i="168"/>
  <c r="M71" i="168" s="1"/>
  <c r="F71" i="168"/>
  <c r="G71" i="168"/>
  <c r="I71" i="168"/>
  <c r="H71" i="168"/>
  <c r="J72" i="168"/>
  <c r="L72" i="168" s="1"/>
  <c r="C72" i="168"/>
  <c r="E72" i="168"/>
  <c r="B72" i="168"/>
  <c r="D72" i="168" s="1"/>
  <c r="P80" i="101"/>
  <c r="X79" i="101"/>
  <c r="V80" i="101"/>
  <c r="C79" i="101"/>
  <c r="B79" i="101"/>
  <c r="Y79" i="101"/>
  <c r="A73" i="168"/>
  <c r="C80" i="101" l="1"/>
  <c r="Y80" i="101"/>
  <c r="X80" i="101"/>
  <c r="P81" i="101"/>
  <c r="B80" i="101"/>
  <c r="V81" i="101"/>
  <c r="A74" i="168"/>
  <c r="C73" i="168"/>
  <c r="J73" i="168"/>
  <c r="L73" i="168" s="1"/>
  <c r="E73" i="168"/>
  <c r="B73" i="168"/>
  <c r="D73" i="168" s="1"/>
  <c r="S72" i="168"/>
  <c r="Z72" i="168"/>
  <c r="T72" i="168"/>
  <c r="P72" i="168"/>
  <c r="V72" i="168"/>
  <c r="U72" i="168"/>
  <c r="N72" i="168"/>
  <c r="O72" i="168"/>
  <c r="AB72" i="168"/>
  <c r="W72" i="168"/>
  <c r="R72" i="168"/>
  <c r="X72" i="168"/>
  <c r="Y72" i="168"/>
  <c r="AA72" i="168"/>
  <c r="Q72" i="168"/>
  <c r="K72" i="168"/>
  <c r="M72" i="168" s="1"/>
  <c r="H72" i="168"/>
  <c r="G72" i="168"/>
  <c r="F72" i="168"/>
  <c r="I72" i="168"/>
  <c r="P82" i="101" l="1"/>
  <c r="C81" i="101"/>
  <c r="X81" i="101"/>
  <c r="B81" i="101"/>
  <c r="V82" i="101"/>
  <c r="Y81" i="101"/>
  <c r="A75" i="168"/>
  <c r="N73" i="168"/>
  <c r="R73" i="168"/>
  <c r="Z73" i="168"/>
  <c r="U73" i="168"/>
  <c r="T73" i="168"/>
  <c r="Y73" i="168"/>
  <c r="X73" i="168"/>
  <c r="AA73" i="168"/>
  <c r="V73" i="168"/>
  <c r="K73" i="168"/>
  <c r="M73" i="168" s="1"/>
  <c r="S73" i="168"/>
  <c r="P73" i="168"/>
  <c r="O73" i="168"/>
  <c r="W73" i="168"/>
  <c r="Q73" i="168"/>
  <c r="AB73" i="168"/>
  <c r="F73" i="168"/>
  <c r="G73" i="168"/>
  <c r="I73" i="168"/>
  <c r="H73" i="168"/>
  <c r="B74" i="168"/>
  <c r="D74" i="168" s="1"/>
  <c r="E74" i="168"/>
  <c r="C74" i="168"/>
  <c r="J74" i="168"/>
  <c r="L74" i="168" s="1"/>
  <c r="P83" i="101" l="1"/>
  <c r="Y82" i="101"/>
  <c r="X82" i="101"/>
  <c r="C82" i="101"/>
  <c r="B82" i="101"/>
  <c r="A76" i="168"/>
  <c r="V83" i="101"/>
  <c r="H74" i="168"/>
  <c r="F74" i="168"/>
  <c r="G74" i="168"/>
  <c r="I74" i="168"/>
  <c r="R74" i="168"/>
  <c r="Z74" i="168"/>
  <c r="Q74" i="168"/>
  <c r="P74" i="168"/>
  <c r="AB74" i="168"/>
  <c r="W74" i="168"/>
  <c r="V74" i="168"/>
  <c r="X74" i="168"/>
  <c r="Y74" i="168"/>
  <c r="K74" i="168"/>
  <c r="M74" i="168" s="1"/>
  <c r="AA74" i="168"/>
  <c r="O74" i="168"/>
  <c r="N74" i="168"/>
  <c r="U74" i="168"/>
  <c r="T74" i="168"/>
  <c r="S74" i="168"/>
  <c r="C75" i="168"/>
  <c r="E75" i="168"/>
  <c r="J75" i="168"/>
  <c r="L75" i="168" s="1"/>
  <c r="B75" i="168"/>
  <c r="D75" i="168" s="1"/>
  <c r="E76" i="168" l="1"/>
  <c r="B76" i="168"/>
  <c r="D76" i="168" s="1"/>
  <c r="C76" i="168"/>
  <c r="J76" i="168"/>
  <c r="L76" i="168" s="1"/>
  <c r="F75" i="168"/>
  <c r="H75" i="168"/>
  <c r="G75" i="168"/>
  <c r="I75" i="168"/>
  <c r="N75" i="168"/>
  <c r="AA75" i="168"/>
  <c r="T75" i="168"/>
  <c r="U75" i="168"/>
  <c r="S75" i="168"/>
  <c r="O75" i="168"/>
  <c r="W75" i="168"/>
  <c r="P75" i="168"/>
  <c r="Q75" i="168"/>
  <c r="AB75" i="168"/>
  <c r="X75" i="168"/>
  <c r="Y75" i="168"/>
  <c r="V75" i="168"/>
  <c r="Z75" i="168"/>
  <c r="R75" i="168"/>
  <c r="K75" i="168"/>
  <c r="M75" i="168" s="1"/>
  <c r="C83" i="101"/>
  <c r="V84" i="101"/>
  <c r="P84" i="101"/>
  <c r="X83" i="101"/>
  <c r="Y83" i="101"/>
  <c r="B83" i="101"/>
  <c r="A77" i="168"/>
  <c r="B84" i="101" l="1"/>
  <c r="V85" i="101"/>
  <c r="C84" i="101"/>
  <c r="X84" i="101"/>
  <c r="P85" i="101"/>
  <c r="Y84" i="101"/>
  <c r="A78" i="168"/>
  <c r="I76" i="168"/>
  <c r="H76" i="168"/>
  <c r="F76" i="168"/>
  <c r="G76" i="168"/>
  <c r="U76" i="168"/>
  <c r="O76" i="168"/>
  <c r="S76" i="168"/>
  <c r="Q76" i="168"/>
  <c r="V76" i="168"/>
  <c r="Z76" i="168"/>
  <c r="Y76" i="168"/>
  <c r="W76" i="168"/>
  <c r="X76" i="168"/>
  <c r="AB76" i="168"/>
  <c r="N76" i="168"/>
  <c r="R76" i="168"/>
  <c r="AA76" i="168"/>
  <c r="P76" i="168"/>
  <c r="T76" i="168"/>
  <c r="K76" i="168"/>
  <c r="M76" i="168" s="1"/>
  <c r="B77" i="168"/>
  <c r="D77" i="168" s="1"/>
  <c r="C77" i="168"/>
  <c r="E77" i="168"/>
  <c r="J77" i="168"/>
  <c r="L77" i="168" s="1"/>
  <c r="E78" i="168" l="1"/>
  <c r="J78" i="168"/>
  <c r="L78" i="168" s="1"/>
  <c r="C78" i="168"/>
  <c r="B78" i="168"/>
  <c r="D78" i="168" s="1"/>
  <c r="H77" i="168"/>
  <c r="F77" i="168"/>
  <c r="I77" i="168"/>
  <c r="G77" i="168"/>
  <c r="S77" i="168"/>
  <c r="V77" i="168"/>
  <c r="X77" i="168"/>
  <c r="W77" i="168"/>
  <c r="O77" i="168"/>
  <c r="Y77" i="168"/>
  <c r="AB77" i="168"/>
  <c r="N77" i="168"/>
  <c r="AA77" i="168"/>
  <c r="Q77" i="168"/>
  <c r="P77" i="168"/>
  <c r="R77" i="168"/>
  <c r="U77" i="168"/>
  <c r="T77" i="168"/>
  <c r="Z77" i="168"/>
  <c r="K77" i="168"/>
  <c r="M77" i="168" s="1"/>
  <c r="P86" i="101"/>
  <c r="X85" i="101"/>
  <c r="C85" i="101"/>
  <c r="V86" i="101"/>
  <c r="B85" i="101"/>
  <c r="Y85" i="101"/>
  <c r="A79" i="168"/>
  <c r="C79" i="168" l="1"/>
  <c r="E79" i="168"/>
  <c r="J79" i="168"/>
  <c r="L79" i="168" s="1"/>
  <c r="B79" i="168"/>
  <c r="D79" i="168" s="1"/>
  <c r="R78" i="168"/>
  <c r="S78" i="168"/>
  <c r="N78" i="168"/>
  <c r="P78" i="168"/>
  <c r="AA78" i="168"/>
  <c r="Z78" i="168"/>
  <c r="Y78" i="168"/>
  <c r="U78" i="168"/>
  <c r="AB78" i="168"/>
  <c r="W78" i="168"/>
  <c r="T78" i="168"/>
  <c r="Q78" i="168"/>
  <c r="V78" i="168"/>
  <c r="O78" i="168"/>
  <c r="X78" i="168"/>
  <c r="K78" i="168"/>
  <c r="M78" i="168" s="1"/>
  <c r="G78" i="168"/>
  <c r="H78" i="168"/>
  <c r="F78" i="168"/>
  <c r="I78" i="168"/>
  <c r="P87" i="101"/>
  <c r="Y86" i="101"/>
  <c r="B86" i="101"/>
  <c r="V87" i="101"/>
  <c r="X86" i="101"/>
  <c r="C86" i="101"/>
  <c r="A80" i="168"/>
  <c r="C80" i="168" l="1"/>
  <c r="E80" i="168"/>
  <c r="J80" i="168"/>
  <c r="L80" i="168" s="1"/>
  <c r="B80" i="168"/>
  <c r="D80" i="168" s="1"/>
  <c r="N79" i="168"/>
  <c r="R79" i="168"/>
  <c r="V79" i="168"/>
  <c r="T79" i="168"/>
  <c r="S79" i="168"/>
  <c r="AB79" i="168"/>
  <c r="P79" i="168"/>
  <c r="Q79" i="168"/>
  <c r="O79" i="168"/>
  <c r="AA79" i="168"/>
  <c r="Y79" i="168"/>
  <c r="Z79" i="168"/>
  <c r="U79" i="168"/>
  <c r="X79" i="168"/>
  <c r="W79" i="168"/>
  <c r="K79" i="168"/>
  <c r="M79" i="168" s="1"/>
  <c r="C87" i="101"/>
  <c r="V88" i="101"/>
  <c r="Y87" i="101"/>
  <c r="X87" i="101"/>
  <c r="P88" i="101"/>
  <c r="B87" i="101"/>
  <c r="A81" i="168"/>
  <c r="F79" i="168"/>
  <c r="G79" i="168"/>
  <c r="H79" i="168"/>
  <c r="I79" i="168"/>
  <c r="E81" i="168" l="1"/>
  <c r="B81" i="168"/>
  <c r="D81" i="168" s="1"/>
  <c r="C81" i="168"/>
  <c r="J81" i="168"/>
  <c r="L81" i="168" s="1"/>
  <c r="W80" i="168"/>
  <c r="O80" i="168"/>
  <c r="X80" i="168"/>
  <c r="Q80" i="168"/>
  <c r="U80" i="168"/>
  <c r="K80" i="168"/>
  <c r="M80" i="168" s="1"/>
  <c r="S80" i="168"/>
  <c r="T80" i="168"/>
  <c r="AA80" i="168"/>
  <c r="N80" i="168"/>
  <c r="AB80" i="168"/>
  <c r="Z80" i="168"/>
  <c r="Y80" i="168"/>
  <c r="V80" i="168"/>
  <c r="R80" i="168"/>
  <c r="P80" i="168"/>
  <c r="P89" i="101"/>
  <c r="V89" i="101"/>
  <c r="X88" i="101"/>
  <c r="Y88" i="101"/>
  <c r="B88" i="101"/>
  <c r="C88" i="101"/>
  <c r="A82" i="168"/>
  <c r="F80" i="168"/>
  <c r="I80" i="168"/>
  <c r="G80" i="168"/>
  <c r="H80" i="168"/>
  <c r="V90" i="101" l="1"/>
  <c r="C89" i="101"/>
  <c r="P90" i="101"/>
  <c r="B89" i="101"/>
  <c r="X89" i="101"/>
  <c r="Y89" i="101"/>
  <c r="A83" i="168"/>
  <c r="G81" i="168"/>
  <c r="F81" i="168"/>
  <c r="I81" i="168"/>
  <c r="H81" i="168"/>
  <c r="C82" i="168"/>
  <c r="E82" i="168"/>
  <c r="B82" i="168"/>
  <c r="D82" i="168" s="1"/>
  <c r="J82" i="168"/>
  <c r="L82" i="168" s="1"/>
  <c r="U81" i="168"/>
  <c r="W81" i="168"/>
  <c r="AA81" i="168"/>
  <c r="X81" i="168"/>
  <c r="N81" i="168"/>
  <c r="T81" i="168"/>
  <c r="Z81" i="168"/>
  <c r="V81" i="168"/>
  <c r="AB81" i="168"/>
  <c r="Y81" i="168"/>
  <c r="R81" i="168"/>
  <c r="P81" i="168"/>
  <c r="Q81" i="168"/>
  <c r="S81" i="168"/>
  <c r="O81" i="168"/>
  <c r="K81" i="168"/>
  <c r="M81" i="168" s="1"/>
  <c r="P82" i="168" l="1"/>
  <c r="V82" i="168"/>
  <c r="T82" i="168"/>
  <c r="Y82" i="168"/>
  <c r="X82" i="168"/>
  <c r="U82" i="168"/>
  <c r="S82" i="168"/>
  <c r="Z82" i="168"/>
  <c r="R82" i="168"/>
  <c r="W82" i="168"/>
  <c r="O82" i="168"/>
  <c r="AB82" i="168"/>
  <c r="Q82" i="168"/>
  <c r="AA82" i="168"/>
  <c r="N82" i="168"/>
  <c r="K82" i="168"/>
  <c r="M82" i="168" s="1"/>
  <c r="E83" i="168"/>
  <c r="J83" i="168"/>
  <c r="L83" i="168" s="1"/>
  <c r="C83" i="168"/>
  <c r="B83" i="168"/>
  <c r="D83" i="168" s="1"/>
  <c r="H82" i="168"/>
  <c r="F82" i="168"/>
  <c r="G82" i="168"/>
  <c r="I82" i="168"/>
  <c r="C90" i="101"/>
  <c r="X90" i="101"/>
  <c r="B90" i="101"/>
  <c r="Y90" i="101"/>
  <c r="V91" i="101"/>
  <c r="P91" i="101"/>
  <c r="A84" i="168"/>
  <c r="B84" i="168" l="1"/>
  <c r="D84" i="168" s="1"/>
  <c r="E84" i="168"/>
  <c r="J84" i="168"/>
  <c r="L84" i="168" s="1"/>
  <c r="C84" i="168"/>
  <c r="S83" i="168"/>
  <c r="V83" i="168"/>
  <c r="AB83" i="168"/>
  <c r="W83" i="168"/>
  <c r="X83" i="168"/>
  <c r="P83" i="168"/>
  <c r="Q83" i="168"/>
  <c r="T83" i="168"/>
  <c r="O83" i="168"/>
  <c r="AA83" i="168"/>
  <c r="U83" i="168"/>
  <c r="Y83" i="168"/>
  <c r="Z83" i="168"/>
  <c r="N83" i="168"/>
  <c r="R83" i="168"/>
  <c r="K83" i="168"/>
  <c r="M83" i="168" s="1"/>
  <c r="G83" i="168"/>
  <c r="F83" i="168"/>
  <c r="H83" i="168"/>
  <c r="I83" i="168"/>
  <c r="C91" i="101"/>
  <c r="B91" i="101"/>
  <c r="Y91" i="101"/>
  <c r="X91" i="101"/>
  <c r="V92" i="101"/>
  <c r="P92" i="101"/>
  <c r="A85" i="168"/>
  <c r="Y92" i="101" l="1"/>
  <c r="X92" i="101"/>
  <c r="B92" i="101"/>
  <c r="V93" i="101"/>
  <c r="C92" i="101"/>
  <c r="P93" i="101"/>
  <c r="A86" i="168"/>
  <c r="H84" i="168"/>
  <c r="G84" i="168"/>
  <c r="I84" i="168"/>
  <c r="F84" i="168"/>
  <c r="C85" i="168"/>
  <c r="E85" i="168"/>
  <c r="B85" i="168"/>
  <c r="D85" i="168" s="1"/>
  <c r="J85" i="168"/>
  <c r="L85" i="168" s="1"/>
  <c r="P84" i="168"/>
  <c r="K84" i="168"/>
  <c r="M84" i="168" s="1"/>
  <c r="S84" i="168"/>
  <c r="Z84" i="168"/>
  <c r="X84" i="168"/>
  <c r="W84" i="168"/>
  <c r="O84" i="168"/>
  <c r="U84" i="168"/>
  <c r="T84" i="168"/>
  <c r="AA84" i="168"/>
  <c r="V84" i="168"/>
  <c r="AB84" i="168"/>
  <c r="Y84" i="168"/>
  <c r="R84" i="168"/>
  <c r="N84" i="168"/>
  <c r="Q84" i="168"/>
  <c r="T85" i="168" l="1"/>
  <c r="Y85" i="168"/>
  <c r="P85" i="168"/>
  <c r="N85" i="168"/>
  <c r="W85" i="168"/>
  <c r="Z85" i="168"/>
  <c r="Q85" i="168"/>
  <c r="X85" i="168"/>
  <c r="R85" i="168"/>
  <c r="O85" i="168"/>
  <c r="V85" i="168"/>
  <c r="AB85" i="168"/>
  <c r="AA85" i="168"/>
  <c r="U85" i="168"/>
  <c r="S85" i="168"/>
  <c r="K85" i="168"/>
  <c r="M85" i="168" s="1"/>
  <c r="J86" i="168"/>
  <c r="L86" i="168" s="1"/>
  <c r="E86" i="168"/>
  <c r="C86" i="168"/>
  <c r="B86" i="168"/>
  <c r="D86" i="168" s="1"/>
  <c r="H85" i="168"/>
  <c r="I85" i="168"/>
  <c r="G85" i="168"/>
  <c r="F85" i="168"/>
  <c r="X93" i="101"/>
  <c r="Y93" i="101"/>
  <c r="P94" i="101"/>
  <c r="V94" i="101"/>
  <c r="C93" i="101"/>
  <c r="B93" i="101"/>
  <c r="A87" i="168"/>
  <c r="P95" i="101" l="1"/>
  <c r="Y94" i="101"/>
  <c r="B94" i="101"/>
  <c r="V95" i="101"/>
  <c r="X94" i="101"/>
  <c r="A88" i="168"/>
  <c r="C94" i="101"/>
  <c r="R86" i="168"/>
  <c r="N86" i="168"/>
  <c r="T86" i="168"/>
  <c r="S86" i="168"/>
  <c r="AA86" i="168"/>
  <c r="Q86" i="168"/>
  <c r="Z86" i="168"/>
  <c r="V86" i="168"/>
  <c r="Y86" i="168"/>
  <c r="P86" i="168"/>
  <c r="O86" i="168"/>
  <c r="AB86" i="168"/>
  <c r="X86" i="168"/>
  <c r="U86" i="168"/>
  <c r="W86" i="168"/>
  <c r="K86" i="168"/>
  <c r="M86" i="168" s="1"/>
  <c r="F86" i="168"/>
  <c r="I86" i="168"/>
  <c r="H86" i="168"/>
  <c r="G86" i="168"/>
  <c r="J87" i="168"/>
  <c r="L87" i="168" s="1"/>
  <c r="C87" i="168"/>
  <c r="E87" i="168"/>
  <c r="B87" i="168"/>
  <c r="D87" i="168" s="1"/>
  <c r="V96" i="101" l="1"/>
  <c r="P96" i="101"/>
  <c r="X95" i="101"/>
  <c r="B95" i="101"/>
  <c r="Y95" i="101"/>
  <c r="C95" i="101"/>
  <c r="A89" i="168"/>
  <c r="G87" i="168"/>
  <c r="F87" i="168"/>
  <c r="H87" i="168"/>
  <c r="I87" i="168"/>
  <c r="E88" i="168"/>
  <c r="C88" i="168"/>
  <c r="J88" i="168"/>
  <c r="L88" i="168" s="1"/>
  <c r="B88" i="168"/>
  <c r="D88" i="168" s="1"/>
  <c r="O87" i="168"/>
  <c r="T87" i="168"/>
  <c r="N87" i="168"/>
  <c r="AB87" i="168"/>
  <c r="S87" i="168"/>
  <c r="W87" i="168"/>
  <c r="R87" i="168"/>
  <c r="P87" i="168"/>
  <c r="Q87" i="168"/>
  <c r="V87" i="168"/>
  <c r="Z87" i="168"/>
  <c r="X87" i="168"/>
  <c r="Y87" i="168"/>
  <c r="AA87" i="168"/>
  <c r="U87" i="168"/>
  <c r="K87" i="168"/>
  <c r="M87" i="168" s="1"/>
  <c r="J89" i="168" l="1"/>
  <c r="L89" i="168" s="1"/>
  <c r="E89" i="168"/>
  <c r="C89" i="168"/>
  <c r="B89" i="168"/>
  <c r="D89" i="168" s="1"/>
  <c r="G88" i="168"/>
  <c r="H88" i="168"/>
  <c r="I88" i="168"/>
  <c r="F88" i="168"/>
  <c r="V88" i="168"/>
  <c r="R88" i="168"/>
  <c r="Y88" i="168"/>
  <c r="O88" i="168"/>
  <c r="X88" i="168"/>
  <c r="Z88" i="168"/>
  <c r="AA88" i="168"/>
  <c r="W88" i="168"/>
  <c r="S88" i="168"/>
  <c r="T88" i="168"/>
  <c r="P88" i="168"/>
  <c r="AB88" i="168"/>
  <c r="Q88" i="168"/>
  <c r="N88" i="168"/>
  <c r="U88" i="168"/>
  <c r="K88" i="168"/>
  <c r="M88" i="168" s="1"/>
  <c r="V97" i="101"/>
  <c r="C96" i="101"/>
  <c r="P97" i="101"/>
  <c r="B96" i="101"/>
  <c r="Y96" i="101"/>
  <c r="X96" i="101"/>
  <c r="A90" i="168"/>
  <c r="E90" i="168" l="1"/>
  <c r="C90" i="168"/>
  <c r="B90" i="168"/>
  <c r="D90" i="168" s="1"/>
  <c r="J90" i="168"/>
  <c r="L90" i="168" s="1"/>
  <c r="Y89" i="168"/>
  <c r="N89" i="168"/>
  <c r="Z89" i="168"/>
  <c r="P89" i="168"/>
  <c r="S89" i="168"/>
  <c r="O89" i="168"/>
  <c r="Q89" i="168"/>
  <c r="AB89" i="168"/>
  <c r="W89" i="168"/>
  <c r="U89" i="168"/>
  <c r="X89" i="168"/>
  <c r="T89" i="168"/>
  <c r="R89" i="168"/>
  <c r="V89" i="168"/>
  <c r="AA89" i="168"/>
  <c r="K89" i="168"/>
  <c r="M89" i="168" s="1"/>
  <c r="H89" i="168"/>
  <c r="F89" i="168"/>
  <c r="G89" i="168"/>
  <c r="I89" i="168"/>
  <c r="Y97" i="101"/>
  <c r="C97" i="101"/>
  <c r="P98" i="101"/>
  <c r="B97" i="101"/>
  <c r="V98" i="101"/>
  <c r="X97" i="101"/>
  <c r="A91" i="168"/>
  <c r="AA90" i="168" l="1"/>
  <c r="S90" i="168"/>
  <c r="V90" i="168"/>
  <c r="W90" i="168"/>
  <c r="Y90" i="168"/>
  <c r="X90" i="168"/>
  <c r="Z90" i="168"/>
  <c r="T90" i="168"/>
  <c r="AB90" i="168"/>
  <c r="R90" i="168"/>
  <c r="O90" i="168"/>
  <c r="U90" i="168"/>
  <c r="N90" i="168"/>
  <c r="Q90" i="168"/>
  <c r="P90" i="168"/>
  <c r="K90" i="168"/>
  <c r="M90" i="168" s="1"/>
  <c r="F90" i="168"/>
  <c r="H90" i="168"/>
  <c r="G90" i="168"/>
  <c r="I90" i="168"/>
  <c r="C91" i="168"/>
  <c r="B91" i="168"/>
  <c r="D91" i="168" s="1"/>
  <c r="E91" i="168"/>
  <c r="J91" i="168"/>
  <c r="L91" i="168" s="1"/>
  <c r="C98" i="101"/>
  <c r="P99" i="101"/>
  <c r="V99" i="101"/>
  <c r="B98" i="101"/>
  <c r="X98" i="101"/>
  <c r="A92" i="168"/>
  <c r="Y98" i="101"/>
  <c r="Y91" i="168" l="1"/>
  <c r="U91" i="168"/>
  <c r="N91" i="168"/>
  <c r="R91" i="168"/>
  <c r="T91" i="168"/>
  <c r="V91" i="168"/>
  <c r="Z91" i="168"/>
  <c r="O91" i="168"/>
  <c r="W91" i="168"/>
  <c r="S91" i="168"/>
  <c r="X91" i="168"/>
  <c r="Q91" i="168"/>
  <c r="AA91" i="168"/>
  <c r="AB91" i="168"/>
  <c r="P91" i="168"/>
  <c r="K91" i="168"/>
  <c r="M91" i="168" s="1"/>
  <c r="E92" i="168"/>
  <c r="J92" i="168"/>
  <c r="L92" i="168" s="1"/>
  <c r="C92" i="168"/>
  <c r="B92" i="168"/>
  <c r="D92" i="168" s="1"/>
  <c r="I91" i="168"/>
  <c r="H91" i="168"/>
  <c r="F91" i="168"/>
  <c r="G91" i="168"/>
  <c r="C99" i="101"/>
  <c r="P100" i="101"/>
  <c r="X99" i="101"/>
  <c r="V100" i="101"/>
  <c r="B99" i="101"/>
  <c r="Y99" i="101"/>
  <c r="A93" i="168"/>
  <c r="C100" i="101" l="1"/>
  <c r="P101" i="101"/>
  <c r="X100" i="101"/>
  <c r="B100" i="101"/>
  <c r="Y100" i="101"/>
  <c r="V101" i="101"/>
  <c r="A94" i="168"/>
  <c r="W92" i="168"/>
  <c r="U92" i="168"/>
  <c r="R92" i="168"/>
  <c r="Y92" i="168"/>
  <c r="T92" i="168"/>
  <c r="N92" i="168"/>
  <c r="AA92" i="168"/>
  <c r="X92" i="168"/>
  <c r="S92" i="168"/>
  <c r="O92" i="168"/>
  <c r="Z92" i="168"/>
  <c r="Q92" i="168"/>
  <c r="AB92" i="168"/>
  <c r="P92" i="168"/>
  <c r="V92" i="168"/>
  <c r="K92" i="168"/>
  <c r="M92" i="168" s="1"/>
  <c r="I92" i="168"/>
  <c r="G92" i="168"/>
  <c r="F92" i="168"/>
  <c r="H92" i="168"/>
  <c r="C93" i="168"/>
  <c r="B93" i="168"/>
  <c r="D93" i="168" s="1"/>
  <c r="E93" i="168"/>
  <c r="J93" i="168"/>
  <c r="L93" i="168" s="1"/>
  <c r="N93" i="168" l="1"/>
  <c r="X93" i="168"/>
  <c r="AA93" i="168"/>
  <c r="R93" i="168"/>
  <c r="P93" i="168"/>
  <c r="V93" i="168"/>
  <c r="AB93" i="168"/>
  <c r="O93" i="168"/>
  <c r="W93" i="168"/>
  <c r="Y93" i="168"/>
  <c r="S93" i="168"/>
  <c r="Q93" i="168"/>
  <c r="U93" i="168"/>
  <c r="T93" i="168"/>
  <c r="Z93" i="168"/>
  <c r="K93" i="168"/>
  <c r="M93" i="168" s="1"/>
  <c r="C101" i="101"/>
  <c r="X101" i="101"/>
  <c r="A95" i="168"/>
  <c r="Y101" i="101"/>
  <c r="V102" i="101"/>
  <c r="B101" i="101"/>
  <c r="P102" i="101"/>
  <c r="F93" i="168"/>
  <c r="G93" i="168"/>
  <c r="I93" i="168"/>
  <c r="H93" i="168"/>
  <c r="C94" i="168"/>
  <c r="B94" i="168"/>
  <c r="D94" i="168" s="1"/>
  <c r="J94" i="168"/>
  <c r="L94" i="168" s="1"/>
  <c r="E94" i="168"/>
  <c r="Z94" i="168" l="1"/>
  <c r="X94" i="168"/>
  <c r="S94" i="168"/>
  <c r="T94" i="168"/>
  <c r="W94" i="168"/>
  <c r="V94" i="168"/>
  <c r="AB94" i="168"/>
  <c r="U94" i="168"/>
  <c r="R94" i="168"/>
  <c r="AA94" i="168"/>
  <c r="K94" i="168"/>
  <c r="M94" i="168" s="1"/>
  <c r="N94" i="168"/>
  <c r="O94" i="168"/>
  <c r="P94" i="168"/>
  <c r="Q94" i="168"/>
  <c r="Y94" i="168"/>
  <c r="H94" i="168"/>
  <c r="G94" i="168"/>
  <c r="F94" i="168"/>
  <c r="I94" i="168"/>
  <c r="X102" i="101"/>
  <c r="Y102" i="101"/>
  <c r="A96" i="168"/>
  <c r="P103" i="101"/>
  <c r="C102" i="101"/>
  <c r="V103" i="101"/>
  <c r="B102" i="101"/>
  <c r="C95" i="168"/>
  <c r="E95" i="168"/>
  <c r="B95" i="168"/>
  <c r="D95" i="168" s="1"/>
  <c r="J95" i="168"/>
  <c r="L95" i="168" s="1"/>
  <c r="I95" i="168" l="1"/>
  <c r="H95" i="168"/>
  <c r="F95" i="168"/>
  <c r="G95" i="168"/>
  <c r="E96" i="168"/>
  <c r="C96" i="168"/>
  <c r="B96" i="168"/>
  <c r="D96" i="168" s="1"/>
  <c r="J96" i="168"/>
  <c r="L96" i="168" s="1"/>
  <c r="Y103" i="101"/>
  <c r="X103" i="101"/>
  <c r="P104" i="101"/>
  <c r="C103" i="101"/>
  <c r="B103" i="101"/>
  <c r="V104" i="101"/>
  <c r="A97" i="168"/>
  <c r="Q95" i="168"/>
  <c r="O95" i="168"/>
  <c r="U95" i="168"/>
  <c r="X95" i="168"/>
  <c r="Z95" i="168"/>
  <c r="T95" i="168"/>
  <c r="AA95" i="168"/>
  <c r="AB95" i="168"/>
  <c r="P95" i="168"/>
  <c r="Y95" i="168"/>
  <c r="V95" i="168"/>
  <c r="W95" i="168"/>
  <c r="K95" i="168"/>
  <c r="M95" i="168" s="1"/>
  <c r="S95" i="168"/>
  <c r="N95" i="168"/>
  <c r="R95" i="168"/>
  <c r="G96" i="168" l="1"/>
  <c r="H96" i="168"/>
  <c r="I96" i="168"/>
  <c r="F96" i="168"/>
  <c r="B104" i="101"/>
  <c r="A98" i="168"/>
  <c r="X104" i="101"/>
  <c r="P105" i="101"/>
  <c r="C104" i="101"/>
  <c r="V105" i="101"/>
  <c r="Y104" i="101"/>
  <c r="Y96" i="168"/>
  <c r="Z96" i="168"/>
  <c r="N96" i="168"/>
  <c r="O96" i="168"/>
  <c r="AA96" i="168"/>
  <c r="U96" i="168"/>
  <c r="S96" i="168"/>
  <c r="R96" i="168"/>
  <c r="V96" i="168"/>
  <c r="Q96" i="168"/>
  <c r="X96" i="168"/>
  <c r="W96" i="168"/>
  <c r="T96" i="168"/>
  <c r="AB96" i="168"/>
  <c r="P96" i="168"/>
  <c r="K96" i="168"/>
  <c r="M96" i="168" s="1"/>
  <c r="J97" i="168"/>
  <c r="L97" i="168" s="1"/>
  <c r="C97" i="168"/>
  <c r="E97" i="168"/>
  <c r="B97" i="168"/>
  <c r="D97" i="168" s="1"/>
  <c r="B98" i="168" l="1"/>
  <c r="D98" i="168" s="1"/>
  <c r="J98" i="168"/>
  <c r="L98" i="168" s="1"/>
  <c r="C98" i="168"/>
  <c r="E98" i="168"/>
  <c r="V97" i="168"/>
  <c r="AA97" i="168"/>
  <c r="R97" i="168"/>
  <c r="P97" i="168"/>
  <c r="Y97" i="168"/>
  <c r="W97" i="168"/>
  <c r="N97" i="168"/>
  <c r="O97" i="168"/>
  <c r="Z97" i="168"/>
  <c r="Q97" i="168"/>
  <c r="AB97" i="168"/>
  <c r="S97" i="168"/>
  <c r="T97" i="168"/>
  <c r="U97" i="168"/>
  <c r="K97" i="168"/>
  <c r="M97" i="168" s="1"/>
  <c r="X97" i="168"/>
  <c r="F97" i="168"/>
  <c r="G97" i="168"/>
  <c r="I97" i="168"/>
  <c r="H97" i="168"/>
  <c r="X105" i="101"/>
  <c r="V106" i="101"/>
  <c r="P106" i="101"/>
  <c r="B105" i="101"/>
  <c r="Y105" i="101"/>
  <c r="C105" i="101"/>
  <c r="A99" i="168"/>
  <c r="P107" i="101" l="1"/>
  <c r="V107" i="101"/>
  <c r="Y106" i="101"/>
  <c r="B106" i="101"/>
  <c r="X106" i="101"/>
  <c r="A100" i="168"/>
  <c r="C106" i="101"/>
  <c r="I98" i="168"/>
  <c r="H98" i="168"/>
  <c r="F98" i="168"/>
  <c r="G98" i="168"/>
  <c r="J99" i="168"/>
  <c r="L99" i="168" s="1"/>
  <c r="E99" i="168"/>
  <c r="B99" i="168"/>
  <c r="D99" i="168" s="1"/>
  <c r="C99" i="168"/>
  <c r="U98" i="168"/>
  <c r="T98" i="168"/>
  <c r="R98" i="168"/>
  <c r="Q98" i="168"/>
  <c r="P98" i="168"/>
  <c r="V98" i="168"/>
  <c r="AB98" i="168"/>
  <c r="O98" i="168"/>
  <c r="W98" i="168"/>
  <c r="S98" i="168"/>
  <c r="Y98" i="168"/>
  <c r="X98" i="168"/>
  <c r="Z98" i="168"/>
  <c r="K98" i="168"/>
  <c r="M98" i="168" s="1"/>
  <c r="N98" i="168"/>
  <c r="AA98" i="168"/>
  <c r="B100" i="168" l="1"/>
  <c r="D100" i="168" s="1"/>
  <c r="E100" i="168"/>
  <c r="J100" i="168"/>
  <c r="L100" i="168" s="1"/>
  <c r="C100" i="168"/>
  <c r="B107" i="101"/>
  <c r="Y107" i="101"/>
  <c r="C107" i="101"/>
  <c r="P108" i="101"/>
  <c r="X107" i="101"/>
  <c r="V108" i="101"/>
  <c r="A101" i="168"/>
  <c r="Y99" i="168"/>
  <c r="AB99" i="168"/>
  <c r="S99" i="168"/>
  <c r="V99" i="168"/>
  <c r="Q99" i="168"/>
  <c r="O99" i="168"/>
  <c r="N99" i="168"/>
  <c r="P99" i="168"/>
  <c r="R99" i="168"/>
  <c r="X99" i="168"/>
  <c r="T99" i="168"/>
  <c r="W99" i="168"/>
  <c r="U99" i="168"/>
  <c r="AA99" i="168"/>
  <c r="Z99" i="168"/>
  <c r="K99" i="168"/>
  <c r="M99" i="168" s="1"/>
  <c r="F99" i="168"/>
  <c r="G99" i="168"/>
  <c r="I99" i="168"/>
  <c r="H99" i="168"/>
  <c r="C101" i="168" l="1"/>
  <c r="E101" i="168"/>
  <c r="B101" i="168"/>
  <c r="D101" i="168" s="1"/>
  <c r="J101" i="168"/>
  <c r="L101" i="168" s="1"/>
  <c r="V109" i="101"/>
  <c r="Y108" i="101"/>
  <c r="X108" i="101"/>
  <c r="C108" i="101"/>
  <c r="P109" i="101"/>
  <c r="A102" i="168"/>
  <c r="B108" i="101"/>
  <c r="F100" i="168"/>
  <c r="I100" i="168"/>
  <c r="H100" i="168"/>
  <c r="G100" i="168"/>
  <c r="S100" i="168"/>
  <c r="V100" i="168"/>
  <c r="AB100" i="168"/>
  <c r="U100" i="168"/>
  <c r="W100" i="168"/>
  <c r="Q100" i="168"/>
  <c r="O100" i="168"/>
  <c r="Z100" i="168"/>
  <c r="N100" i="168"/>
  <c r="R100" i="168"/>
  <c r="T100" i="168"/>
  <c r="Y100" i="168"/>
  <c r="AA100" i="168"/>
  <c r="K100" i="168"/>
  <c r="M100" i="168" s="1"/>
  <c r="X100" i="168"/>
  <c r="P100" i="168"/>
  <c r="Y109" i="101" l="1"/>
  <c r="C109" i="101"/>
  <c r="V110" i="101"/>
  <c r="B109" i="101"/>
  <c r="P110" i="101"/>
  <c r="X109" i="101"/>
  <c r="A103" i="168"/>
  <c r="E102" i="168"/>
  <c r="C102" i="168"/>
  <c r="B102" i="168"/>
  <c r="D102" i="168" s="1"/>
  <c r="J102" i="168"/>
  <c r="L102" i="168" s="1"/>
  <c r="AB101" i="168"/>
  <c r="S101" i="168"/>
  <c r="R101" i="168"/>
  <c r="Q101" i="168"/>
  <c r="V101" i="168"/>
  <c r="T101" i="168"/>
  <c r="Z101" i="168"/>
  <c r="Y101" i="168"/>
  <c r="W101" i="168"/>
  <c r="O101" i="168"/>
  <c r="AA101" i="168"/>
  <c r="N101" i="168"/>
  <c r="P101" i="168"/>
  <c r="X101" i="168"/>
  <c r="K101" i="168"/>
  <c r="M101" i="168" s="1"/>
  <c r="U101" i="168"/>
  <c r="I101" i="168"/>
  <c r="F101" i="168"/>
  <c r="H101" i="168"/>
  <c r="G101" i="168"/>
  <c r="U102" i="168" l="1"/>
  <c r="N102" i="168"/>
  <c r="S102" i="168"/>
  <c r="Q102" i="168"/>
  <c r="P102" i="168"/>
  <c r="T102" i="168"/>
  <c r="Y102" i="168"/>
  <c r="R102" i="168"/>
  <c r="AA102" i="168"/>
  <c r="V102" i="168"/>
  <c r="Z102" i="168"/>
  <c r="O102" i="168"/>
  <c r="X102" i="168"/>
  <c r="AB102" i="168"/>
  <c r="W102" i="168"/>
  <c r="K102" i="168"/>
  <c r="M102" i="168" s="1"/>
  <c r="B110" i="101"/>
  <c r="P111" i="101"/>
  <c r="Y110" i="101"/>
  <c r="V111" i="101"/>
  <c r="C110" i="101"/>
  <c r="X110" i="101"/>
  <c r="A104" i="168"/>
  <c r="F102" i="168"/>
  <c r="I102" i="168"/>
  <c r="H102" i="168"/>
  <c r="G102" i="168"/>
  <c r="B103" i="168"/>
  <c r="D103" i="168" s="1"/>
  <c r="C103" i="168"/>
  <c r="E103" i="168"/>
  <c r="J103" i="168"/>
  <c r="L103" i="168" s="1"/>
  <c r="C104" i="168" l="1"/>
  <c r="E104" i="168"/>
  <c r="J104" i="168"/>
  <c r="L104" i="168" s="1"/>
  <c r="B104" i="168"/>
  <c r="D104" i="168" s="1"/>
  <c r="F103" i="168"/>
  <c r="G103" i="168"/>
  <c r="I103" i="168"/>
  <c r="H103" i="168"/>
  <c r="R103" i="168"/>
  <c r="Z103" i="168"/>
  <c r="V103" i="168"/>
  <c r="O103" i="168"/>
  <c r="P103" i="168"/>
  <c r="X103" i="168"/>
  <c r="T103" i="168"/>
  <c r="Q103" i="168"/>
  <c r="N103" i="168"/>
  <c r="U103" i="168"/>
  <c r="W103" i="168"/>
  <c r="S103" i="168"/>
  <c r="Y103" i="168"/>
  <c r="AB103" i="168"/>
  <c r="AA103" i="168"/>
  <c r="K103" i="168"/>
  <c r="M103" i="168" s="1"/>
  <c r="Y111" i="101"/>
  <c r="V112" i="101"/>
  <c r="B111" i="101"/>
  <c r="X111" i="101"/>
  <c r="C111" i="101"/>
  <c r="P112" i="101"/>
  <c r="A105" i="168"/>
  <c r="J105" i="168" l="1"/>
  <c r="L105" i="168" s="1"/>
  <c r="C105" i="168"/>
  <c r="B105" i="168"/>
  <c r="D105" i="168" s="1"/>
  <c r="E105" i="168"/>
  <c r="Y104" i="168"/>
  <c r="X104" i="168"/>
  <c r="O104" i="168"/>
  <c r="U104" i="168"/>
  <c r="Q104" i="168"/>
  <c r="T104" i="168"/>
  <c r="S104" i="168"/>
  <c r="P104" i="168"/>
  <c r="W104" i="168"/>
  <c r="V104" i="168"/>
  <c r="R104" i="168"/>
  <c r="AA104" i="168"/>
  <c r="AB104" i="168"/>
  <c r="N104" i="168"/>
  <c r="Z104" i="168"/>
  <c r="K104" i="168"/>
  <c r="M104" i="168" s="1"/>
  <c r="C112" i="101"/>
  <c r="X112" i="101"/>
  <c r="V113" i="101"/>
  <c r="B112" i="101"/>
  <c r="Y112" i="101"/>
  <c r="P113" i="101"/>
  <c r="A106" i="168"/>
  <c r="I104" i="168"/>
  <c r="G104" i="168"/>
  <c r="F104" i="168"/>
  <c r="H104" i="168"/>
  <c r="C106" i="168" l="1"/>
  <c r="E106" i="168"/>
  <c r="B106" i="168"/>
  <c r="D106" i="168" s="1"/>
  <c r="J106" i="168"/>
  <c r="L106" i="168" s="1"/>
  <c r="V114" i="101"/>
  <c r="C113" i="101"/>
  <c r="Y113" i="101"/>
  <c r="P114" i="101"/>
  <c r="B113" i="101"/>
  <c r="X113" i="101"/>
  <c r="A107" i="168"/>
  <c r="AB105" i="168"/>
  <c r="V105" i="168"/>
  <c r="Q105" i="168"/>
  <c r="Z105" i="168"/>
  <c r="R105" i="168"/>
  <c r="N105" i="168"/>
  <c r="W105" i="168"/>
  <c r="U105" i="168"/>
  <c r="X105" i="168"/>
  <c r="AA105" i="168"/>
  <c r="O105" i="168"/>
  <c r="Y105" i="168"/>
  <c r="T105" i="168"/>
  <c r="S105" i="168"/>
  <c r="P105" i="168"/>
  <c r="K105" i="168"/>
  <c r="M105" i="168" s="1"/>
  <c r="G105" i="168"/>
  <c r="F105" i="168"/>
  <c r="I105" i="168"/>
  <c r="H105" i="168"/>
  <c r="AA106" i="168" l="1"/>
  <c r="S106" i="168"/>
  <c r="Q106" i="168"/>
  <c r="AB106" i="168"/>
  <c r="U106" i="168"/>
  <c r="T106" i="168"/>
  <c r="N106" i="168"/>
  <c r="X106" i="168"/>
  <c r="Z106" i="168"/>
  <c r="R106" i="168"/>
  <c r="Y106" i="168"/>
  <c r="P106" i="168"/>
  <c r="O106" i="168"/>
  <c r="W106" i="168"/>
  <c r="V106" i="168"/>
  <c r="K106" i="168"/>
  <c r="M106" i="168" s="1"/>
  <c r="P115" i="101"/>
  <c r="V115" i="101"/>
  <c r="B114" i="101"/>
  <c r="Y114" i="101"/>
  <c r="C114" i="101"/>
  <c r="X114" i="101"/>
  <c r="A108" i="168"/>
  <c r="C107" i="168"/>
  <c r="B107" i="168"/>
  <c r="D107" i="168" s="1"/>
  <c r="E107" i="168"/>
  <c r="J107" i="168"/>
  <c r="L107" i="168" s="1"/>
  <c r="H106" i="168"/>
  <c r="G106" i="168"/>
  <c r="I106" i="168"/>
  <c r="F106" i="168"/>
  <c r="B115" i="101" l="1"/>
  <c r="P116" i="101"/>
  <c r="A109" i="168"/>
  <c r="V116" i="101"/>
  <c r="Y115" i="101"/>
  <c r="C115" i="101"/>
  <c r="X115" i="101"/>
  <c r="N107" i="168"/>
  <c r="P107" i="168"/>
  <c r="W107" i="168"/>
  <c r="Z107" i="168"/>
  <c r="V107" i="168"/>
  <c r="AB107" i="168"/>
  <c r="Y107" i="168"/>
  <c r="Q107" i="168"/>
  <c r="AA107" i="168"/>
  <c r="R107" i="168"/>
  <c r="X107" i="168"/>
  <c r="T107" i="168"/>
  <c r="O107" i="168"/>
  <c r="U107" i="168"/>
  <c r="S107" i="168"/>
  <c r="K107" i="168"/>
  <c r="M107" i="168" s="1"/>
  <c r="H107" i="168"/>
  <c r="I107" i="168"/>
  <c r="F107" i="168"/>
  <c r="G107" i="168"/>
  <c r="C108" i="168"/>
  <c r="J108" i="168"/>
  <c r="L108" i="168" s="1"/>
  <c r="B108" i="168"/>
  <c r="D108" i="168" s="1"/>
  <c r="E108" i="168"/>
  <c r="Z108" i="168" l="1"/>
  <c r="T108" i="168"/>
  <c r="AA108" i="168"/>
  <c r="N108" i="168"/>
  <c r="S108" i="168"/>
  <c r="V108" i="168"/>
  <c r="Q108" i="168"/>
  <c r="Y108" i="168"/>
  <c r="W108" i="168"/>
  <c r="K108" i="168"/>
  <c r="M108" i="168" s="1"/>
  <c r="P108" i="168"/>
  <c r="X108" i="168"/>
  <c r="R108" i="168"/>
  <c r="AB108" i="168"/>
  <c r="O108" i="168"/>
  <c r="U108" i="168"/>
  <c r="F108" i="168"/>
  <c r="I108" i="168"/>
  <c r="H108" i="168"/>
  <c r="G108" i="168"/>
  <c r="B109" i="168"/>
  <c r="D109" i="168" s="1"/>
  <c r="E109" i="168"/>
  <c r="J109" i="168"/>
  <c r="L109" i="168" s="1"/>
  <c r="C109" i="168"/>
  <c r="Y116" i="101"/>
  <c r="B116" i="101"/>
  <c r="V117" i="101"/>
  <c r="C116" i="101"/>
  <c r="X116" i="101"/>
  <c r="P117" i="101"/>
  <c r="A110" i="168"/>
  <c r="I109" i="168" l="1"/>
  <c r="H109" i="168"/>
  <c r="F109" i="168"/>
  <c r="G109" i="168"/>
  <c r="P118" i="101"/>
  <c r="V118" i="101"/>
  <c r="Y117" i="101"/>
  <c r="C117" i="101"/>
  <c r="B117" i="101"/>
  <c r="X117" i="101"/>
  <c r="A111" i="168"/>
  <c r="P109" i="168"/>
  <c r="Q109" i="168"/>
  <c r="AB109" i="168"/>
  <c r="Z109" i="168"/>
  <c r="AA109" i="168"/>
  <c r="K109" i="168"/>
  <c r="M109" i="168" s="1"/>
  <c r="S109" i="168"/>
  <c r="W109" i="168"/>
  <c r="T109" i="168"/>
  <c r="O109" i="168"/>
  <c r="N109" i="168"/>
  <c r="R109" i="168"/>
  <c r="X109" i="168"/>
  <c r="U109" i="168"/>
  <c r="Y109" i="168"/>
  <c r="V109" i="168"/>
  <c r="E110" i="168"/>
  <c r="C110" i="168"/>
  <c r="B110" i="168"/>
  <c r="D110" i="168" s="1"/>
  <c r="J110" i="168"/>
  <c r="L110" i="168" s="1"/>
  <c r="Y110" i="168" l="1"/>
  <c r="X110" i="168"/>
  <c r="Z110" i="168"/>
  <c r="AA110" i="168"/>
  <c r="P110" i="168"/>
  <c r="O110" i="168"/>
  <c r="T110" i="168"/>
  <c r="W110" i="168"/>
  <c r="N110" i="168"/>
  <c r="V110" i="168"/>
  <c r="S110" i="168"/>
  <c r="AB110" i="168"/>
  <c r="U110" i="168"/>
  <c r="K110" i="168"/>
  <c r="M110" i="168" s="1"/>
  <c r="Q110" i="168"/>
  <c r="R110" i="168"/>
  <c r="H110" i="168"/>
  <c r="G110" i="168"/>
  <c r="I110" i="168"/>
  <c r="F110" i="168"/>
  <c r="B118" i="101"/>
  <c r="C118" i="101"/>
  <c r="V119" i="101"/>
  <c r="P119" i="101"/>
  <c r="Y118" i="101"/>
  <c r="X118" i="101"/>
  <c r="A112" i="168"/>
  <c r="C111" i="168"/>
  <c r="E111" i="168"/>
  <c r="J111" i="168"/>
  <c r="L111" i="168" s="1"/>
  <c r="B111" i="168"/>
  <c r="D111" i="168" s="1"/>
  <c r="R111" i="168" l="1"/>
  <c r="Z111" i="168"/>
  <c r="O111" i="168"/>
  <c r="U111" i="168"/>
  <c r="AA111" i="168"/>
  <c r="T111" i="168"/>
  <c r="P111" i="168"/>
  <c r="N111" i="168"/>
  <c r="W111" i="168"/>
  <c r="X111" i="168"/>
  <c r="S111" i="168"/>
  <c r="V111" i="168"/>
  <c r="Q111" i="168"/>
  <c r="Y111" i="168"/>
  <c r="AB111" i="168"/>
  <c r="K111" i="168"/>
  <c r="M111" i="168" s="1"/>
  <c r="G111" i="168"/>
  <c r="F111" i="168"/>
  <c r="I111" i="168"/>
  <c r="H111" i="168"/>
  <c r="E112" i="168"/>
  <c r="C112" i="168"/>
  <c r="J112" i="168"/>
  <c r="L112" i="168" s="1"/>
  <c r="B112" i="168"/>
  <c r="D112" i="168" s="1"/>
  <c r="C119" i="101"/>
  <c r="P120" i="101"/>
  <c r="B119" i="101"/>
  <c r="X119" i="101"/>
  <c r="Y119" i="101"/>
  <c r="V120" i="101"/>
  <c r="A113" i="168"/>
  <c r="AA112" i="168" l="1"/>
  <c r="Y112" i="168"/>
  <c r="AB112" i="168"/>
  <c r="N112" i="168"/>
  <c r="W112" i="168"/>
  <c r="O112" i="168"/>
  <c r="R112" i="168"/>
  <c r="V112" i="168"/>
  <c r="P112" i="168"/>
  <c r="Q112" i="168"/>
  <c r="U112" i="168"/>
  <c r="S112" i="168"/>
  <c r="T112" i="168"/>
  <c r="X112" i="168"/>
  <c r="Z112" i="168"/>
  <c r="K112" i="168"/>
  <c r="M112" i="168" s="1"/>
  <c r="C113" i="168"/>
  <c r="E113" i="168"/>
  <c r="J113" i="168"/>
  <c r="L113" i="168" s="1"/>
  <c r="B113" i="168"/>
  <c r="D113" i="168" s="1"/>
  <c r="I112" i="168"/>
  <c r="F112" i="168"/>
  <c r="H112" i="168"/>
  <c r="G112" i="168"/>
  <c r="X120" i="101"/>
  <c r="Y120" i="101"/>
  <c r="B120" i="101"/>
  <c r="B40" i="168" s="1"/>
  <c r="C120" i="101"/>
  <c r="A114" i="168"/>
  <c r="A10" i="173"/>
  <c r="B10" i="173" s="1"/>
  <c r="B10" i="172" s="1"/>
  <c r="F10" i="172" s="1"/>
  <c r="A10" i="100"/>
  <c r="B10" i="100" s="1"/>
  <c r="D40" i="168" l="1"/>
  <c r="J40" i="168"/>
  <c r="L40" i="168" s="1"/>
  <c r="X40" i="168"/>
  <c r="N40" i="168"/>
  <c r="U40" i="168"/>
  <c r="Q40" i="168"/>
  <c r="Y40" i="168"/>
  <c r="AB40" i="168"/>
  <c r="V40" i="168"/>
  <c r="AA40" i="168"/>
  <c r="S40" i="168"/>
  <c r="P40" i="168"/>
  <c r="R40" i="168"/>
  <c r="W40" i="168"/>
  <c r="Z40" i="168"/>
  <c r="O40" i="168"/>
  <c r="T40" i="168"/>
  <c r="K40" i="168"/>
  <c r="M40" i="168" s="1"/>
  <c r="B38" i="168"/>
  <c r="Q38" i="168" s="1"/>
  <c r="B39" i="168"/>
  <c r="B36" i="168"/>
  <c r="Q36" i="168" s="1"/>
  <c r="B37" i="168"/>
  <c r="B34" i="168"/>
  <c r="Q34" i="168" s="1"/>
  <c r="B35" i="168"/>
  <c r="B32" i="168"/>
  <c r="S32" i="168" s="1"/>
  <c r="B33" i="168"/>
  <c r="B30" i="168"/>
  <c r="D30" i="168" s="1"/>
  <c r="B31" i="168"/>
  <c r="BA5" i="140"/>
  <c r="AL5" i="140" s="1"/>
  <c r="BA4" i="140"/>
  <c r="AL4" i="140" s="1"/>
  <c r="AL7" i="140"/>
  <c r="BA3" i="140"/>
  <c r="AL3" i="140" s="1"/>
  <c r="BA6" i="140"/>
  <c r="AL6" i="140" s="1"/>
  <c r="BA2" i="140"/>
  <c r="AL2" i="140" s="1"/>
  <c r="A11" i="173"/>
  <c r="A12" i="173" s="1"/>
  <c r="A13" i="173" s="1"/>
  <c r="A14" i="173" s="1"/>
  <c r="A11" i="100"/>
  <c r="B11" i="100" s="1"/>
  <c r="C11" i="100" s="1"/>
  <c r="C10" i="173"/>
  <c r="C10" i="172"/>
  <c r="C114" i="168"/>
  <c r="E114" i="168"/>
  <c r="B114" i="168"/>
  <c r="D114" i="168" s="1"/>
  <c r="J114" i="168"/>
  <c r="L114" i="168" s="1"/>
  <c r="C10" i="100"/>
  <c r="AB113" i="168"/>
  <c r="Q113" i="168"/>
  <c r="U113" i="168"/>
  <c r="X113" i="168"/>
  <c r="Z113" i="168"/>
  <c r="N113" i="168"/>
  <c r="R113" i="168"/>
  <c r="Y113" i="168"/>
  <c r="W113" i="168"/>
  <c r="T113" i="168"/>
  <c r="S113" i="168"/>
  <c r="AA113" i="168"/>
  <c r="O113" i="168"/>
  <c r="P113" i="168"/>
  <c r="V113" i="168"/>
  <c r="K113" i="168"/>
  <c r="M113" i="168" s="1"/>
  <c r="B9" i="168"/>
  <c r="D9" i="168" s="1"/>
  <c r="B10" i="168"/>
  <c r="D10" i="168" s="1"/>
  <c r="B11" i="168"/>
  <c r="D11" i="168" s="1"/>
  <c r="B12" i="168"/>
  <c r="D12" i="168" s="1"/>
  <c r="B13" i="168"/>
  <c r="D13" i="168" s="1"/>
  <c r="B14" i="168"/>
  <c r="D14" i="168" s="1"/>
  <c r="B15" i="168"/>
  <c r="D15" i="168" s="1"/>
  <c r="B16" i="168"/>
  <c r="D16" i="168" s="1"/>
  <c r="B17" i="168"/>
  <c r="D17" i="168" s="1"/>
  <c r="B18" i="168"/>
  <c r="D18" i="168" s="1"/>
  <c r="B19" i="168"/>
  <c r="D19" i="168" s="1"/>
  <c r="B22" i="168"/>
  <c r="D22" i="168" s="1"/>
  <c r="B20" i="168"/>
  <c r="D20" i="168" s="1"/>
  <c r="B21" i="168"/>
  <c r="D21" i="168" s="1"/>
  <c r="B24" i="168"/>
  <c r="D24" i="168" s="1"/>
  <c r="B23" i="168"/>
  <c r="D23" i="168" s="1"/>
  <c r="B25" i="168"/>
  <c r="D25" i="168" s="1"/>
  <c r="B26" i="168"/>
  <c r="D26" i="168" s="1"/>
  <c r="B27" i="168"/>
  <c r="D27" i="168" s="1"/>
  <c r="B28" i="168"/>
  <c r="D28" i="168" s="1"/>
  <c r="B29" i="168"/>
  <c r="D29" i="168" s="1"/>
  <c r="F113" i="168"/>
  <c r="G113" i="168"/>
  <c r="I113" i="168"/>
  <c r="H113" i="168"/>
  <c r="O18" i="140"/>
  <c r="D10" i="100"/>
  <c r="T18" i="140"/>
  <c r="S18" i="140"/>
  <c r="D11" i="100"/>
  <c r="K18" i="140"/>
  <c r="M18" i="140"/>
  <c r="Q18" i="140"/>
  <c r="R18" i="140"/>
  <c r="U18" i="140"/>
  <c r="R30" i="168" l="1"/>
  <c r="O38" i="168"/>
  <c r="N38" i="168"/>
  <c r="T38" i="168"/>
  <c r="AA38" i="168"/>
  <c r="U38" i="168"/>
  <c r="Y38" i="168"/>
  <c r="W38" i="168"/>
  <c r="K38" i="168"/>
  <c r="M38" i="168" s="1"/>
  <c r="X38" i="168"/>
  <c r="AB38" i="168"/>
  <c r="R38" i="168"/>
  <c r="V38" i="168"/>
  <c r="J38" i="168"/>
  <c r="L38" i="168" s="1"/>
  <c r="Z38" i="168"/>
  <c r="S38" i="168"/>
  <c r="D38" i="168"/>
  <c r="P38" i="168"/>
  <c r="D39" i="168"/>
  <c r="J39" i="168"/>
  <c r="L39" i="168" s="1"/>
  <c r="S39" i="168"/>
  <c r="P39" i="168"/>
  <c r="Y39" i="168"/>
  <c r="K39" i="168"/>
  <c r="M39" i="168" s="1"/>
  <c r="R39" i="168"/>
  <c r="W39" i="168"/>
  <c r="V39" i="168"/>
  <c r="Z39" i="168"/>
  <c r="N39" i="168"/>
  <c r="O39" i="168"/>
  <c r="T39" i="168"/>
  <c r="Q39" i="168"/>
  <c r="AB39" i="168"/>
  <c r="X39" i="168"/>
  <c r="AA39" i="168"/>
  <c r="U39" i="168"/>
  <c r="S36" i="168"/>
  <c r="N36" i="168"/>
  <c r="T36" i="168"/>
  <c r="W36" i="168"/>
  <c r="Y36" i="168"/>
  <c r="K36" i="168"/>
  <c r="M36" i="168" s="1"/>
  <c r="AB36" i="168"/>
  <c r="O36" i="168"/>
  <c r="Z36" i="168"/>
  <c r="R36" i="168"/>
  <c r="AA36" i="168"/>
  <c r="U36" i="168"/>
  <c r="J36" i="168"/>
  <c r="L36" i="168" s="1"/>
  <c r="V36" i="168"/>
  <c r="X36" i="168"/>
  <c r="D36" i="168"/>
  <c r="P36" i="168"/>
  <c r="D37" i="168"/>
  <c r="J37" i="168"/>
  <c r="L37" i="168" s="1"/>
  <c r="T37" i="168"/>
  <c r="P37" i="168"/>
  <c r="Z37" i="168"/>
  <c r="Y37" i="168"/>
  <c r="U37" i="168"/>
  <c r="AB37" i="168"/>
  <c r="N37" i="168"/>
  <c r="V37" i="168"/>
  <c r="X37" i="168"/>
  <c r="AA37" i="168"/>
  <c r="W37" i="168"/>
  <c r="K37" i="168"/>
  <c r="M37" i="168" s="1"/>
  <c r="Q37" i="168"/>
  <c r="O37" i="168"/>
  <c r="S37" i="168"/>
  <c r="R37" i="168"/>
  <c r="Y34" i="168"/>
  <c r="N34" i="168"/>
  <c r="U34" i="168"/>
  <c r="O34" i="168"/>
  <c r="X34" i="168"/>
  <c r="S34" i="168"/>
  <c r="K34" i="168"/>
  <c r="M34" i="168" s="1"/>
  <c r="R34" i="168"/>
  <c r="P34" i="168"/>
  <c r="AB34" i="168"/>
  <c r="Z34" i="168"/>
  <c r="T34" i="168"/>
  <c r="J34" i="168"/>
  <c r="L34" i="168" s="1"/>
  <c r="V34" i="168"/>
  <c r="W34" i="168"/>
  <c r="D34" i="168"/>
  <c r="AA34" i="168"/>
  <c r="D35" i="168"/>
  <c r="J35" i="168"/>
  <c r="L35" i="168" s="1"/>
  <c r="AB35" i="168"/>
  <c r="AA35" i="168"/>
  <c r="V35" i="168"/>
  <c r="Z35" i="168"/>
  <c r="R35" i="168"/>
  <c r="Y35" i="168"/>
  <c r="T35" i="168"/>
  <c r="N35" i="168"/>
  <c r="K35" i="168"/>
  <c r="M35" i="168" s="1"/>
  <c r="Q35" i="168"/>
  <c r="S35" i="168"/>
  <c r="O35" i="168"/>
  <c r="W35" i="168"/>
  <c r="P35" i="168"/>
  <c r="U35" i="168"/>
  <c r="X35" i="168"/>
  <c r="N32" i="168"/>
  <c r="X32" i="168"/>
  <c r="O32" i="168"/>
  <c r="P32" i="168"/>
  <c r="V32" i="168"/>
  <c r="W32" i="168"/>
  <c r="R32" i="168"/>
  <c r="T32" i="168"/>
  <c r="Q32" i="168"/>
  <c r="U32" i="168"/>
  <c r="AB32" i="168"/>
  <c r="Y32" i="168"/>
  <c r="J32" i="168"/>
  <c r="L32" i="168" s="1"/>
  <c r="K32" i="168"/>
  <c r="M32" i="168" s="1"/>
  <c r="AA32" i="168"/>
  <c r="D32" i="168"/>
  <c r="Z32" i="168"/>
  <c r="D33" i="168"/>
  <c r="J33" i="168"/>
  <c r="L33" i="168" s="1"/>
  <c r="O33" i="168"/>
  <c r="AB33" i="168"/>
  <c r="V33" i="168"/>
  <c r="Q33" i="168"/>
  <c r="R33" i="168"/>
  <c r="T33" i="168"/>
  <c r="U33" i="168"/>
  <c r="N33" i="168"/>
  <c r="W33" i="168"/>
  <c r="K33" i="168"/>
  <c r="M33" i="168" s="1"/>
  <c r="Y33" i="168"/>
  <c r="S33" i="168"/>
  <c r="Z33" i="168"/>
  <c r="X33" i="168"/>
  <c r="AA33" i="168"/>
  <c r="P33" i="168"/>
  <c r="J30" i="168"/>
  <c r="L30" i="168" s="1"/>
  <c r="P30" i="168"/>
  <c r="O30" i="168"/>
  <c r="AB30" i="168"/>
  <c r="U30" i="168"/>
  <c r="T30" i="168"/>
  <c r="Y30" i="168"/>
  <c r="V30" i="168"/>
  <c r="S30" i="168"/>
  <c r="K30" i="168"/>
  <c r="M30" i="168" s="1"/>
  <c r="N30" i="168"/>
  <c r="Z30" i="168"/>
  <c r="Q30" i="168"/>
  <c r="AA30" i="168"/>
  <c r="X30" i="168"/>
  <c r="W30" i="168"/>
  <c r="D31" i="168"/>
  <c r="J31" i="168"/>
  <c r="L31" i="168" s="1"/>
  <c r="AA31" i="168"/>
  <c r="X31" i="168"/>
  <c r="R31" i="168"/>
  <c r="K31" i="168"/>
  <c r="M31" i="168" s="1"/>
  <c r="S31" i="168"/>
  <c r="V31" i="168"/>
  <c r="U31" i="168"/>
  <c r="O31" i="168"/>
  <c r="Q31" i="168"/>
  <c r="Z31" i="168"/>
  <c r="W31" i="168"/>
  <c r="T31" i="168"/>
  <c r="P31" i="168"/>
  <c r="AB31" i="168"/>
  <c r="Y31" i="168"/>
  <c r="N31" i="168"/>
  <c r="G10" i="172"/>
  <c r="H10" i="172" s="1"/>
  <c r="B11" i="173"/>
  <c r="C11" i="173" s="1"/>
  <c r="E11" i="173" s="1"/>
  <c r="A12" i="100"/>
  <c r="B12" i="100" s="1"/>
  <c r="S11" i="100"/>
  <c r="Y11" i="100"/>
  <c r="W11" i="100"/>
  <c r="V11" i="100"/>
  <c r="U11" i="100"/>
  <c r="M11" i="100"/>
  <c r="N11" i="100"/>
  <c r="L11" i="100"/>
  <c r="AA11" i="100"/>
  <c r="AB11" i="100"/>
  <c r="K11" i="100"/>
  <c r="P11" i="100"/>
  <c r="O11" i="100"/>
  <c r="Q11" i="100"/>
  <c r="X11" i="100"/>
  <c r="R11" i="100"/>
  <c r="Z11" i="100"/>
  <c r="T11" i="100"/>
  <c r="J11" i="100"/>
  <c r="T28" i="140"/>
  <c r="T26" i="140"/>
  <c r="T30" i="140"/>
  <c r="T22" i="140"/>
  <c r="T32" i="140"/>
  <c r="T24" i="140"/>
  <c r="O33" i="140"/>
  <c r="O30" i="140"/>
  <c r="O22" i="140"/>
  <c r="O32" i="140"/>
  <c r="O29" i="140"/>
  <c r="O26" i="140"/>
  <c r="O25" i="140"/>
  <c r="O21" i="140"/>
  <c r="O20" i="140"/>
  <c r="O24" i="140"/>
  <c r="O28" i="140"/>
  <c r="Q20" i="140"/>
  <c r="Q26" i="140"/>
  <c r="Q29" i="140"/>
  <c r="Q22" i="140"/>
  <c r="Q21" i="140"/>
  <c r="Q32" i="140"/>
  <c r="Q28" i="140"/>
  <c r="Q24" i="140"/>
  <c r="Q30" i="140"/>
  <c r="K29" i="140"/>
  <c r="K28" i="140"/>
  <c r="K20" i="140"/>
  <c r="K27" i="140"/>
  <c r="E27" i="140" s="1"/>
  <c r="K30" i="140"/>
  <c r="K25" i="140"/>
  <c r="K33" i="140"/>
  <c r="K24" i="140"/>
  <c r="K32" i="140"/>
  <c r="K22" i="140"/>
  <c r="K31" i="140"/>
  <c r="K26" i="140"/>
  <c r="K21" i="140"/>
  <c r="K23" i="140"/>
  <c r="K19" i="140"/>
  <c r="E19" i="140" s="1"/>
  <c r="M29" i="140"/>
  <c r="M26" i="140"/>
  <c r="M31" i="140"/>
  <c r="M20" i="140"/>
  <c r="M22" i="140"/>
  <c r="M23" i="140"/>
  <c r="M25" i="140"/>
  <c r="M33" i="140"/>
  <c r="M32" i="140"/>
  <c r="M24" i="140"/>
  <c r="M28" i="140"/>
  <c r="M21" i="140"/>
  <c r="M30" i="140"/>
  <c r="R24" i="140"/>
  <c r="R30" i="140"/>
  <c r="R22" i="140"/>
  <c r="R20" i="140"/>
  <c r="R21" i="140"/>
  <c r="R26" i="140"/>
  <c r="R32" i="140"/>
  <c r="R28" i="140"/>
  <c r="S20" i="140"/>
  <c r="S26" i="140"/>
  <c r="S24" i="140"/>
  <c r="S28" i="140"/>
  <c r="S30" i="140"/>
  <c r="S32" i="140"/>
  <c r="S22" i="140"/>
  <c r="U22" i="140"/>
  <c r="U30" i="140"/>
  <c r="U26" i="140"/>
  <c r="U32" i="140"/>
  <c r="U24" i="140"/>
  <c r="V10" i="100"/>
  <c r="M10" i="100"/>
  <c r="N10" i="100"/>
  <c r="S10" i="100"/>
  <c r="T10" i="100"/>
  <c r="O10" i="100"/>
  <c r="X10" i="100"/>
  <c r="P10" i="100"/>
  <c r="Y10" i="100"/>
  <c r="AA10" i="100"/>
  <c r="R10" i="100"/>
  <c r="Q10" i="100"/>
  <c r="AB10" i="100"/>
  <c r="K10" i="100"/>
  <c r="L10" i="100"/>
  <c r="U10" i="100"/>
  <c r="W10" i="100"/>
  <c r="Z10" i="100"/>
  <c r="J10" i="100"/>
  <c r="U24" i="168"/>
  <c r="X24" i="168"/>
  <c r="T24" i="168"/>
  <c r="P24" i="168"/>
  <c r="S24" i="168"/>
  <c r="AA24" i="168"/>
  <c r="Y24" i="168"/>
  <c r="N24" i="168"/>
  <c r="Q24" i="168"/>
  <c r="R24" i="168"/>
  <c r="AB24" i="168"/>
  <c r="O24" i="168"/>
  <c r="W24" i="168"/>
  <c r="K24" i="168"/>
  <c r="M24" i="168" s="1"/>
  <c r="V24" i="168"/>
  <c r="Z24" i="168"/>
  <c r="J24" i="168"/>
  <c r="L24" i="168" s="1"/>
  <c r="X15" i="168"/>
  <c r="V15" i="168"/>
  <c r="Z15" i="168"/>
  <c r="AA15" i="168"/>
  <c r="AB15" i="168"/>
  <c r="P15" i="168"/>
  <c r="O15" i="168"/>
  <c r="Q15" i="168"/>
  <c r="U15" i="168"/>
  <c r="T15" i="168"/>
  <c r="W15" i="168"/>
  <c r="S15" i="168"/>
  <c r="Y15" i="168"/>
  <c r="N15" i="168"/>
  <c r="R15" i="168"/>
  <c r="K15" i="168"/>
  <c r="M15" i="168" s="1"/>
  <c r="J15" i="168"/>
  <c r="L15" i="168" s="1"/>
  <c r="E11" i="100"/>
  <c r="AM3" i="140"/>
  <c r="AA21" i="168"/>
  <c r="Z21" i="168"/>
  <c r="V21" i="168"/>
  <c r="T21" i="168"/>
  <c r="Y21" i="168"/>
  <c r="X21" i="168"/>
  <c r="Q21" i="168"/>
  <c r="AB21" i="168"/>
  <c r="P21" i="168"/>
  <c r="K21" i="168"/>
  <c r="M21" i="168" s="1"/>
  <c r="R21" i="168"/>
  <c r="W21" i="168"/>
  <c r="N21" i="168"/>
  <c r="S21" i="168"/>
  <c r="O21" i="168"/>
  <c r="U21" i="168"/>
  <c r="J21" i="168"/>
  <c r="L21" i="168" s="1"/>
  <c r="U14" i="168"/>
  <c r="Y14" i="168"/>
  <c r="Z14" i="168"/>
  <c r="O14" i="168"/>
  <c r="AA14" i="168"/>
  <c r="Q14" i="168"/>
  <c r="AB14" i="168"/>
  <c r="V14" i="168"/>
  <c r="N14" i="168"/>
  <c r="S14" i="168"/>
  <c r="T14" i="168"/>
  <c r="W14" i="168"/>
  <c r="R14" i="168"/>
  <c r="X14" i="168"/>
  <c r="P14" i="168"/>
  <c r="K14" i="168"/>
  <c r="M14" i="168" s="1"/>
  <c r="J14" i="168"/>
  <c r="L14" i="168" s="1"/>
  <c r="G46" i="140"/>
  <c r="G43" i="140"/>
  <c r="G65" i="140"/>
  <c r="AC66" i="165" s="1"/>
  <c r="G51" i="140"/>
  <c r="G40" i="140"/>
  <c r="G36" i="140"/>
  <c r="G59" i="140"/>
  <c r="G64" i="140"/>
  <c r="E7" i="140"/>
  <c r="E4" i="140"/>
  <c r="E12" i="140"/>
  <c r="E6" i="140"/>
  <c r="E15" i="140"/>
  <c r="G57" i="140"/>
  <c r="AC26" i="165" s="1"/>
  <c r="G58" i="140"/>
  <c r="AC64" i="165" s="1"/>
  <c r="G61" i="140"/>
  <c r="G49" i="140"/>
  <c r="AC66" i="164" s="1"/>
  <c r="G54" i="140"/>
  <c r="G56" i="140"/>
  <c r="G39" i="140"/>
  <c r="G50" i="140"/>
  <c r="AC24" i="165" s="1"/>
  <c r="E10" i="140"/>
  <c r="E14" i="140"/>
  <c r="E16" i="140"/>
  <c r="E9" i="140"/>
  <c r="G34" i="140"/>
  <c r="G41" i="140"/>
  <c r="AC26" i="164" s="1"/>
  <c r="G63" i="140"/>
  <c r="G35" i="140"/>
  <c r="E8" i="140"/>
  <c r="G42" i="140"/>
  <c r="G38" i="140"/>
  <c r="G48" i="140"/>
  <c r="G53" i="140"/>
  <c r="G44" i="140"/>
  <c r="G55" i="140"/>
  <c r="G37" i="140"/>
  <c r="G47" i="140"/>
  <c r="G52" i="140"/>
  <c r="G60" i="140"/>
  <c r="G62" i="140"/>
  <c r="G45" i="140"/>
  <c r="E3" i="140"/>
  <c r="E2" i="140"/>
  <c r="E17" i="140"/>
  <c r="E11" i="140"/>
  <c r="E5" i="140"/>
  <c r="E13" i="140"/>
  <c r="AM2" i="140"/>
  <c r="E10" i="173"/>
  <c r="D10" i="173"/>
  <c r="X29" i="168"/>
  <c r="W29" i="168"/>
  <c r="N29" i="168"/>
  <c r="AB29" i="168"/>
  <c r="P29" i="168"/>
  <c r="K29" i="168"/>
  <c r="M29" i="168" s="1"/>
  <c r="Z29" i="168"/>
  <c r="S29" i="168"/>
  <c r="R29" i="168"/>
  <c r="T29" i="168"/>
  <c r="V29" i="168"/>
  <c r="O29" i="168"/>
  <c r="U29" i="168"/>
  <c r="AA29" i="168"/>
  <c r="Q29" i="168"/>
  <c r="Y29" i="168"/>
  <c r="J29" i="168"/>
  <c r="L29" i="168" s="1"/>
  <c r="X20" i="168"/>
  <c r="K20" i="168"/>
  <c r="M20" i="168" s="1"/>
  <c r="O20" i="168"/>
  <c r="Z20" i="168"/>
  <c r="S20" i="168"/>
  <c r="T20" i="168"/>
  <c r="R20" i="168"/>
  <c r="AB20" i="168"/>
  <c r="U20" i="168"/>
  <c r="N20" i="168"/>
  <c r="AA20" i="168"/>
  <c r="Y20" i="168"/>
  <c r="W20" i="168"/>
  <c r="Q20" i="168"/>
  <c r="V20" i="168"/>
  <c r="P20" i="168"/>
  <c r="J20" i="168"/>
  <c r="L20" i="168" s="1"/>
  <c r="P13" i="168"/>
  <c r="X13" i="168"/>
  <c r="AA13" i="168"/>
  <c r="U13" i="168"/>
  <c r="Y13" i="168"/>
  <c r="S13" i="168"/>
  <c r="Z13" i="168"/>
  <c r="N13" i="168"/>
  <c r="T13" i="168"/>
  <c r="O13" i="168"/>
  <c r="W13" i="168"/>
  <c r="Q13" i="168"/>
  <c r="V13" i="168"/>
  <c r="AB13" i="168"/>
  <c r="R13" i="168"/>
  <c r="K13" i="168"/>
  <c r="M13" i="168" s="1"/>
  <c r="J13" i="168"/>
  <c r="L13" i="168" s="1"/>
  <c r="E10" i="100"/>
  <c r="W28" i="168"/>
  <c r="Q28" i="168"/>
  <c r="P28" i="168"/>
  <c r="R28" i="168"/>
  <c r="AB28" i="168"/>
  <c r="U28" i="168"/>
  <c r="X28" i="168"/>
  <c r="N28" i="168"/>
  <c r="V28" i="168"/>
  <c r="Z28" i="168"/>
  <c r="S28" i="168"/>
  <c r="T28" i="168"/>
  <c r="O28" i="168"/>
  <c r="AA28" i="168"/>
  <c r="Y28" i="168"/>
  <c r="K28" i="168"/>
  <c r="M28" i="168" s="1"/>
  <c r="J28" i="168"/>
  <c r="L28" i="168" s="1"/>
  <c r="V22" i="168"/>
  <c r="R22" i="168"/>
  <c r="P22" i="168"/>
  <c r="Z22" i="168"/>
  <c r="AA22" i="168"/>
  <c r="T22" i="168"/>
  <c r="Q22" i="168"/>
  <c r="U22" i="168"/>
  <c r="W22" i="168"/>
  <c r="S22" i="168"/>
  <c r="Y22" i="168"/>
  <c r="AB22" i="168"/>
  <c r="X22" i="168"/>
  <c r="N22" i="168"/>
  <c r="O22" i="168"/>
  <c r="K22" i="168"/>
  <c r="M22" i="168" s="1"/>
  <c r="J22" i="168"/>
  <c r="L22" i="168" s="1"/>
  <c r="T12" i="168"/>
  <c r="Q12" i="168"/>
  <c r="O12" i="168"/>
  <c r="V12" i="168"/>
  <c r="U12" i="168"/>
  <c r="X12" i="168"/>
  <c r="W12" i="168"/>
  <c r="P12" i="168"/>
  <c r="Z12" i="168"/>
  <c r="AB12" i="168"/>
  <c r="R12" i="168"/>
  <c r="Y12" i="168"/>
  <c r="S12" i="168"/>
  <c r="AA12" i="168"/>
  <c r="N12" i="168"/>
  <c r="K12" i="168"/>
  <c r="M12" i="168" s="1"/>
  <c r="J12" i="168"/>
  <c r="L12" i="168" s="1"/>
  <c r="AA114" i="168"/>
  <c r="N114" i="168"/>
  <c r="W114" i="168"/>
  <c r="R114" i="168"/>
  <c r="Z114" i="168"/>
  <c r="O114" i="168"/>
  <c r="X114" i="168"/>
  <c r="T114" i="168"/>
  <c r="Y114" i="168"/>
  <c r="AB114" i="168"/>
  <c r="Q114" i="168"/>
  <c r="V114" i="168"/>
  <c r="U114" i="168"/>
  <c r="S114" i="168"/>
  <c r="P114" i="168"/>
  <c r="K114" i="168"/>
  <c r="M114" i="168" s="1"/>
  <c r="A13" i="100"/>
  <c r="S27" i="168"/>
  <c r="P27" i="168"/>
  <c r="Z27" i="168"/>
  <c r="T27" i="168"/>
  <c r="N27" i="168"/>
  <c r="Y27" i="168"/>
  <c r="Q27" i="168"/>
  <c r="V27" i="168"/>
  <c r="O27" i="168"/>
  <c r="AB27" i="168"/>
  <c r="U27" i="168"/>
  <c r="W27" i="168"/>
  <c r="R27" i="168"/>
  <c r="AA27" i="168"/>
  <c r="X27" i="168"/>
  <c r="K27" i="168"/>
  <c r="M27" i="168" s="1"/>
  <c r="J27" i="168"/>
  <c r="L27" i="168" s="1"/>
  <c r="W19" i="168"/>
  <c r="N19" i="168"/>
  <c r="Q19" i="168"/>
  <c r="AB19" i="168"/>
  <c r="X19" i="168"/>
  <c r="Z19" i="168"/>
  <c r="Y19" i="168"/>
  <c r="AA19" i="168"/>
  <c r="O19" i="168"/>
  <c r="K19" i="168"/>
  <c r="M19" i="168" s="1"/>
  <c r="P19" i="168"/>
  <c r="S19" i="168"/>
  <c r="V19" i="168"/>
  <c r="T19" i="168"/>
  <c r="U19" i="168"/>
  <c r="R19" i="168"/>
  <c r="J19" i="168"/>
  <c r="L19" i="168" s="1"/>
  <c r="P11" i="168"/>
  <c r="Z11" i="168"/>
  <c r="Y11" i="168"/>
  <c r="O11" i="168"/>
  <c r="V11" i="168"/>
  <c r="T11" i="168"/>
  <c r="R11" i="168"/>
  <c r="S11" i="168"/>
  <c r="X11" i="168"/>
  <c r="N11" i="168"/>
  <c r="Q11" i="168"/>
  <c r="W11" i="168"/>
  <c r="U11" i="168"/>
  <c r="AB11" i="168"/>
  <c r="AA11" i="168"/>
  <c r="K11" i="168"/>
  <c r="M11" i="168" s="1"/>
  <c r="J11" i="168"/>
  <c r="L11" i="168" s="1"/>
  <c r="AM4" i="140"/>
  <c r="AB26" i="168"/>
  <c r="Q26" i="168"/>
  <c r="AA26" i="168"/>
  <c r="P26" i="168"/>
  <c r="O26" i="168"/>
  <c r="W26" i="168"/>
  <c r="K26" i="168"/>
  <c r="M26" i="168" s="1"/>
  <c r="Y26" i="168"/>
  <c r="X26" i="168"/>
  <c r="N26" i="168"/>
  <c r="R26" i="168"/>
  <c r="U26" i="168"/>
  <c r="T26" i="168"/>
  <c r="Z26" i="168"/>
  <c r="S26" i="168"/>
  <c r="V26" i="168"/>
  <c r="J26" i="168"/>
  <c r="L26" i="168" s="1"/>
  <c r="X18" i="168"/>
  <c r="Y18" i="168"/>
  <c r="AB18" i="168"/>
  <c r="K18" i="168"/>
  <c r="M18" i="168" s="1"/>
  <c r="Z18" i="168"/>
  <c r="AA18" i="168"/>
  <c r="W18" i="168"/>
  <c r="T18" i="168"/>
  <c r="S18" i="168"/>
  <c r="Q18" i="168"/>
  <c r="U18" i="168"/>
  <c r="N18" i="168"/>
  <c r="V18" i="168"/>
  <c r="O18" i="168"/>
  <c r="R18" i="168"/>
  <c r="P18" i="168"/>
  <c r="J18" i="168"/>
  <c r="L18" i="168" s="1"/>
  <c r="X10" i="168"/>
  <c r="V10" i="168"/>
  <c r="Y10" i="168"/>
  <c r="AB10" i="168"/>
  <c r="N10" i="168"/>
  <c r="O10" i="168"/>
  <c r="P10" i="168"/>
  <c r="S10" i="168"/>
  <c r="W10" i="168"/>
  <c r="AA10" i="168"/>
  <c r="Z10" i="168"/>
  <c r="T10" i="168"/>
  <c r="Q10" i="168"/>
  <c r="R10" i="168"/>
  <c r="U10" i="168"/>
  <c r="K10" i="168"/>
  <c r="M10" i="168" s="1"/>
  <c r="J10" i="168"/>
  <c r="L10" i="168" s="1"/>
  <c r="AM5" i="140"/>
  <c r="I114" i="168"/>
  <c r="H114" i="168"/>
  <c r="G114" i="168"/>
  <c r="F114" i="168"/>
  <c r="S25" i="168"/>
  <c r="V25" i="168"/>
  <c r="W25" i="168"/>
  <c r="R25" i="168"/>
  <c r="Q25" i="168"/>
  <c r="O25" i="168"/>
  <c r="P25" i="168"/>
  <c r="Z25" i="168"/>
  <c r="Y25" i="168"/>
  <c r="AA25" i="168"/>
  <c r="K25" i="168"/>
  <c r="M25" i="168" s="1"/>
  <c r="N25" i="168"/>
  <c r="U25" i="168"/>
  <c r="AB25" i="168"/>
  <c r="X25" i="168"/>
  <c r="T25" i="168"/>
  <c r="J25" i="168"/>
  <c r="L25" i="168" s="1"/>
  <c r="Q17" i="168"/>
  <c r="N17" i="168"/>
  <c r="X17" i="168"/>
  <c r="P17" i="168"/>
  <c r="O17" i="168"/>
  <c r="Z17" i="168"/>
  <c r="V17" i="168"/>
  <c r="T17" i="168"/>
  <c r="U17" i="168"/>
  <c r="S17" i="168"/>
  <c r="AB17" i="168"/>
  <c r="W17" i="168"/>
  <c r="R17" i="168"/>
  <c r="Y17" i="168"/>
  <c r="AA17" i="168"/>
  <c r="K17" i="168"/>
  <c r="M17" i="168" s="1"/>
  <c r="J17" i="168"/>
  <c r="L17" i="168" s="1"/>
  <c r="V9" i="168"/>
  <c r="W9" i="168"/>
  <c r="S9" i="168"/>
  <c r="Z9" i="168"/>
  <c r="J9" i="168"/>
  <c r="L9" i="168" s="1"/>
  <c r="P9" i="168"/>
  <c r="K9" i="168"/>
  <c r="M9" i="168" s="1"/>
  <c r="Q9" i="168"/>
  <c r="N9" i="168"/>
  <c r="R9" i="168"/>
  <c r="AA9" i="168"/>
  <c r="X9" i="168"/>
  <c r="O9" i="168"/>
  <c r="AB9" i="168"/>
  <c r="T9" i="168"/>
  <c r="Y9" i="168"/>
  <c r="U9" i="168"/>
  <c r="AM7" i="140"/>
  <c r="E82" i="140"/>
  <c r="A9" i="167" s="1"/>
  <c r="E96" i="140"/>
  <c r="A79" i="167" s="1"/>
  <c r="E88" i="140"/>
  <c r="A39" i="167" s="1"/>
  <c r="E87" i="140"/>
  <c r="A31" i="167" s="1"/>
  <c r="E95" i="140"/>
  <c r="A71" i="167" s="1"/>
  <c r="E85" i="140"/>
  <c r="A21" i="167" s="1"/>
  <c r="E90" i="140"/>
  <c r="A49" i="167" s="1"/>
  <c r="E92" i="140"/>
  <c r="A59" i="167" s="1"/>
  <c r="E86" i="140"/>
  <c r="A29" i="167" s="1"/>
  <c r="E89" i="140"/>
  <c r="A41" i="167" s="1"/>
  <c r="E97" i="140"/>
  <c r="A81" i="167" s="1"/>
  <c r="E91" i="140"/>
  <c r="A51" i="167" s="1"/>
  <c r="E84" i="140"/>
  <c r="A19" i="167" s="1"/>
  <c r="E94" i="140"/>
  <c r="A69" i="167" s="1"/>
  <c r="E93" i="140"/>
  <c r="A61" i="167" s="1"/>
  <c r="E83" i="140"/>
  <c r="A11" i="167" s="1"/>
  <c r="E10" i="172"/>
  <c r="A15" i="173"/>
  <c r="Q23" i="168"/>
  <c r="R23" i="168"/>
  <c r="V23" i="168"/>
  <c r="AB23" i="168"/>
  <c r="W23" i="168"/>
  <c r="Y23" i="168"/>
  <c r="AA23" i="168"/>
  <c r="K23" i="168"/>
  <c r="M23" i="168" s="1"/>
  <c r="O23" i="168"/>
  <c r="Z23" i="168"/>
  <c r="P23" i="168"/>
  <c r="S23" i="168"/>
  <c r="N23" i="168"/>
  <c r="T23" i="168"/>
  <c r="U23" i="168"/>
  <c r="X23" i="168"/>
  <c r="J23" i="168"/>
  <c r="L23" i="168" s="1"/>
  <c r="Q16" i="168"/>
  <c r="X16" i="168"/>
  <c r="S16" i="168"/>
  <c r="P16" i="168"/>
  <c r="AA16" i="168"/>
  <c r="AB16" i="168"/>
  <c r="R16" i="168"/>
  <c r="N16" i="168"/>
  <c r="W16" i="168"/>
  <c r="T16" i="168"/>
  <c r="U16" i="168"/>
  <c r="O16" i="168"/>
  <c r="V16" i="168"/>
  <c r="Z16" i="168"/>
  <c r="Y16" i="168"/>
  <c r="K16" i="168"/>
  <c r="M16" i="168" s="1"/>
  <c r="J16" i="168"/>
  <c r="L16" i="168" s="1"/>
  <c r="AM6" i="140"/>
  <c r="AE3" i="140"/>
  <c r="N18" i="140"/>
  <c r="Y18" i="140"/>
  <c r="AE4" i="140"/>
  <c r="X18" i="140"/>
  <c r="L18" i="140"/>
  <c r="W18" i="140"/>
  <c r="P18" i="140"/>
  <c r="E31" i="140" l="1"/>
  <c r="E18" i="140"/>
  <c r="P26" i="140"/>
  <c r="P24" i="140"/>
  <c r="P20" i="140"/>
  <c r="E20" i="140" s="1"/>
  <c r="P30" i="140"/>
  <c r="P29" i="140"/>
  <c r="E29" i="140" s="1"/>
  <c r="P32" i="140"/>
  <c r="P33" i="140"/>
  <c r="P22" i="140"/>
  <c r="E22" i="140" s="1"/>
  <c r="P28" i="140"/>
  <c r="P21" i="140"/>
  <c r="L31" i="140"/>
  <c r="L23" i="140"/>
  <c r="L30" i="140"/>
  <c r="L28" i="140"/>
  <c r="L32" i="140"/>
  <c r="L29" i="140"/>
  <c r="L25" i="140"/>
  <c r="L26" i="140"/>
  <c r="L22" i="140"/>
  <c r="L20" i="140"/>
  <c r="L24" i="140"/>
  <c r="L21" i="140"/>
  <c r="L27" i="140"/>
  <c r="L33" i="140"/>
  <c r="N20" i="140"/>
  <c r="N23" i="140"/>
  <c r="E23" i="140" s="1"/>
  <c r="N24" i="140"/>
  <c r="N26" i="140"/>
  <c r="N25" i="140"/>
  <c r="E25" i="140" s="1"/>
  <c r="N29" i="140"/>
  <c r="N28" i="140"/>
  <c r="N30" i="140"/>
  <c r="N21" i="140"/>
  <c r="N32" i="140"/>
  <c r="N22" i="140"/>
  <c r="N33" i="140"/>
  <c r="E101" i="140"/>
  <c r="E113" i="140"/>
  <c r="E99" i="140"/>
  <c r="E105" i="140"/>
  <c r="E110" i="140"/>
  <c r="E111" i="140"/>
  <c r="E108" i="140"/>
  <c r="E103" i="140"/>
  <c r="E109" i="140"/>
  <c r="E107" i="140"/>
  <c r="E98" i="140"/>
  <c r="E104" i="140"/>
  <c r="E112" i="140"/>
  <c r="E106" i="140"/>
  <c r="E102" i="140"/>
  <c r="E100" i="140"/>
  <c r="B11" i="172"/>
  <c r="F11" i="172" s="1"/>
  <c r="E11" i="172" s="1"/>
  <c r="A21" i="130"/>
  <c r="A81" i="130"/>
  <c r="A11" i="130"/>
  <c r="AC64" i="164"/>
  <c r="A41" i="130"/>
  <c r="A69" i="130"/>
  <c r="A71" i="130"/>
  <c r="A59" i="130"/>
  <c r="A31" i="130"/>
  <c r="A11" i="163"/>
  <c r="A61" i="130"/>
  <c r="A51" i="130"/>
  <c r="A9" i="130"/>
  <c r="A39" i="130"/>
  <c r="AC24" i="164"/>
  <c r="A79" i="130"/>
  <c r="A49" i="130"/>
  <c r="A29" i="130"/>
  <c r="A19" i="130"/>
  <c r="A51" i="163"/>
  <c r="F10" i="173"/>
  <c r="D11" i="173"/>
  <c r="B12" i="173"/>
  <c r="B12" i="172" s="1"/>
  <c r="F12" i="172" s="1"/>
  <c r="E12" i="172" s="1"/>
  <c r="Y23" i="140"/>
  <c r="Y25" i="140"/>
  <c r="Y22" i="140"/>
  <c r="Y27" i="140"/>
  <c r="Y30" i="140"/>
  <c r="Y33" i="140"/>
  <c r="Y32" i="140"/>
  <c r="Y31" i="140"/>
  <c r="Y26" i="140"/>
  <c r="Y24" i="140"/>
  <c r="Y19" i="140"/>
  <c r="W23" i="140"/>
  <c r="W31" i="140"/>
  <c r="W29" i="140"/>
  <c r="W21" i="140"/>
  <c r="F21" i="140" s="1"/>
  <c r="W33" i="140"/>
  <c r="W20" i="140"/>
  <c r="F20" i="140" s="1"/>
  <c r="W27" i="140"/>
  <c r="W32" i="140"/>
  <c r="W30" i="140"/>
  <c r="W22" i="140"/>
  <c r="F22" i="140" s="1"/>
  <c r="W19" i="140"/>
  <c r="W26" i="140"/>
  <c r="W28" i="140"/>
  <c r="W24" i="140"/>
  <c r="W25" i="140"/>
  <c r="X24" i="140"/>
  <c r="X26" i="140"/>
  <c r="X32" i="140"/>
  <c r="X19" i="140"/>
  <c r="X28" i="140"/>
  <c r="X25" i="140"/>
  <c r="X29" i="140"/>
  <c r="X22" i="140"/>
  <c r="X27" i="140"/>
  <c r="X30" i="140"/>
  <c r="X33" i="140"/>
  <c r="X23" i="140"/>
  <c r="X31" i="140"/>
  <c r="AC4" i="140"/>
  <c r="AC3" i="140"/>
  <c r="E34" i="140"/>
  <c r="B13" i="100"/>
  <c r="A14" i="100"/>
  <c r="F23" i="168"/>
  <c r="F13" i="168"/>
  <c r="F10" i="168"/>
  <c r="F11" i="173"/>
  <c r="H11" i="173"/>
  <c r="I11" i="173"/>
  <c r="C12" i="100"/>
  <c r="F19" i="168"/>
  <c r="F22" i="168"/>
  <c r="F9" i="168"/>
  <c r="F12" i="168"/>
  <c r="A16" i="173"/>
  <c r="W10" i="173"/>
  <c r="S10" i="173"/>
  <c r="X10" i="173"/>
  <c r="M10" i="173"/>
  <c r="K10" i="173"/>
  <c r="O10" i="173"/>
  <c r="P10" i="173"/>
  <c r="U10" i="173"/>
  <c r="L10" i="173"/>
  <c r="Z10" i="173"/>
  <c r="V10" i="173"/>
  <c r="Q10" i="173"/>
  <c r="N10" i="173"/>
  <c r="AA10" i="173"/>
  <c r="Y10" i="173"/>
  <c r="AB10" i="173"/>
  <c r="T10" i="173"/>
  <c r="R10" i="173"/>
  <c r="J10" i="173"/>
  <c r="F24" i="168"/>
  <c r="F15" i="168"/>
  <c r="I10" i="173"/>
  <c r="H10" i="173"/>
  <c r="F16" i="168"/>
  <c r="F4" i="140"/>
  <c r="F15" i="140"/>
  <c r="F11" i="140"/>
  <c r="F12" i="140"/>
  <c r="F2" i="140"/>
  <c r="F16" i="140"/>
  <c r="F3" i="140"/>
  <c r="F7" i="140"/>
  <c r="F6" i="140"/>
  <c r="F9" i="140"/>
  <c r="F8" i="140"/>
  <c r="F17" i="140"/>
  <c r="F14" i="140"/>
  <c r="F5" i="140"/>
  <c r="F10" i="140"/>
  <c r="F13" i="140"/>
  <c r="F20" i="168"/>
  <c r="F21" i="168"/>
  <c r="F18" i="168"/>
  <c r="F14" i="168"/>
  <c r="F18" i="140"/>
  <c r="F11" i="100"/>
  <c r="H11" i="100"/>
  <c r="I11" i="100"/>
  <c r="H10" i="100"/>
  <c r="F10" i="100"/>
  <c r="I10" i="100"/>
  <c r="F17" i="168"/>
  <c r="F11" i="168"/>
  <c r="T50" i="140"/>
  <c r="M34" i="140"/>
  <c r="L50" i="140"/>
  <c r="P34" i="140"/>
  <c r="Q34" i="140"/>
  <c r="D12" i="100"/>
  <c r="N50" i="140"/>
  <c r="M50" i="140"/>
  <c r="K50" i="140"/>
  <c r="P50" i="140"/>
  <c r="O34" i="140"/>
  <c r="W34" i="140"/>
  <c r="K34" i="140"/>
  <c r="Y34" i="140"/>
  <c r="N34" i="140"/>
  <c r="R34" i="140"/>
  <c r="R50" i="140"/>
  <c r="T34" i="140"/>
  <c r="X34" i="140"/>
  <c r="U34" i="140"/>
  <c r="L34" i="140"/>
  <c r="S50" i="140"/>
  <c r="Q50" i="140"/>
  <c r="S34" i="140"/>
  <c r="O50" i="140"/>
  <c r="U50" i="140"/>
  <c r="A41" i="163" l="1"/>
  <c r="A31" i="163"/>
  <c r="A9" i="163"/>
  <c r="A71" i="163"/>
  <c r="E30" i="140"/>
  <c r="E21" i="140"/>
  <c r="E24" i="140"/>
  <c r="E28" i="140"/>
  <c r="E26" i="140"/>
  <c r="C11" i="172"/>
  <c r="G11" i="172" s="1"/>
  <c r="H11" i="172" s="1"/>
  <c r="E33" i="140"/>
  <c r="E32" i="140"/>
  <c r="L42" i="140"/>
  <c r="L46" i="140"/>
  <c r="L43" i="140"/>
  <c r="L37" i="140"/>
  <c r="L47" i="140"/>
  <c r="L44" i="140"/>
  <c r="L38" i="140"/>
  <c r="L48" i="140"/>
  <c r="L45" i="140"/>
  <c r="L41" i="140"/>
  <c r="L40" i="140"/>
  <c r="L39" i="140"/>
  <c r="L36" i="140"/>
  <c r="L49" i="140"/>
  <c r="M46" i="140"/>
  <c r="M41" i="140"/>
  <c r="M49" i="140"/>
  <c r="M44" i="140"/>
  <c r="M38" i="140"/>
  <c r="M45" i="140"/>
  <c r="M39" i="140"/>
  <c r="M40" i="140"/>
  <c r="M47" i="140"/>
  <c r="M42" i="140"/>
  <c r="M48" i="140"/>
  <c r="M36" i="140"/>
  <c r="M37" i="140"/>
  <c r="T46" i="140"/>
  <c r="T44" i="140"/>
  <c r="T40" i="140"/>
  <c r="T48" i="140"/>
  <c r="T42" i="140"/>
  <c r="T38" i="140"/>
  <c r="N48" i="140"/>
  <c r="N49" i="140"/>
  <c r="N36" i="140"/>
  <c r="N40" i="140"/>
  <c r="N41" i="140"/>
  <c r="N39" i="140"/>
  <c r="N44" i="140"/>
  <c r="N37" i="140"/>
  <c r="N45" i="140"/>
  <c r="N38" i="140"/>
  <c r="N42" i="140"/>
  <c r="N46" i="140"/>
  <c r="R38" i="140"/>
  <c r="R37" i="140"/>
  <c r="R42" i="140"/>
  <c r="R40" i="140"/>
  <c r="R46" i="140"/>
  <c r="R44" i="140"/>
  <c r="R36" i="140"/>
  <c r="R48" i="140"/>
  <c r="U38" i="140"/>
  <c r="U48" i="140"/>
  <c r="U46" i="140"/>
  <c r="U40" i="140"/>
  <c r="U42" i="140"/>
  <c r="Q36" i="140"/>
  <c r="Q40" i="140"/>
  <c r="Q38" i="140"/>
  <c r="Q46" i="140"/>
  <c r="Q42" i="140"/>
  <c r="Q44" i="140"/>
  <c r="Q48" i="140"/>
  <c r="Q45" i="140"/>
  <c r="Q37" i="140"/>
  <c r="K37" i="140"/>
  <c r="E37" i="140" s="1"/>
  <c r="K43" i="140"/>
  <c r="E43" i="140" s="1"/>
  <c r="K36" i="140"/>
  <c r="E36" i="140" s="1"/>
  <c r="K48" i="140"/>
  <c r="E48" i="140" s="1"/>
  <c r="A79" i="164" s="1"/>
  <c r="K44" i="140"/>
  <c r="E44" i="140" s="1"/>
  <c r="A59" i="164" s="1"/>
  <c r="K39" i="140"/>
  <c r="E39" i="140" s="1"/>
  <c r="K46" i="140"/>
  <c r="E46" i="140" s="1"/>
  <c r="K47" i="140"/>
  <c r="E47" i="140" s="1"/>
  <c r="A71" i="164" s="1"/>
  <c r="K35" i="140"/>
  <c r="K41" i="140"/>
  <c r="E41" i="140" s="1"/>
  <c r="K38" i="140"/>
  <c r="E38" i="140" s="1"/>
  <c r="K49" i="140"/>
  <c r="E49" i="140" s="1"/>
  <c r="A81" i="164" s="1"/>
  <c r="K45" i="140"/>
  <c r="E45" i="140" s="1"/>
  <c r="A61" i="164" s="1"/>
  <c r="K42" i="140"/>
  <c r="E42" i="140" s="1"/>
  <c r="K40" i="140"/>
  <c r="E40" i="140" s="1"/>
  <c r="A39" i="164" s="1"/>
  <c r="S38" i="140"/>
  <c r="S42" i="140"/>
  <c r="S44" i="140"/>
  <c r="S46" i="140"/>
  <c r="S40" i="140"/>
  <c r="S48" i="140"/>
  <c r="S36" i="140"/>
  <c r="P49" i="140"/>
  <c r="P44" i="140"/>
  <c r="P36" i="140"/>
  <c r="P48" i="140"/>
  <c r="P40" i="140"/>
  <c r="P37" i="140"/>
  <c r="P38" i="140"/>
  <c r="P45" i="140"/>
  <c r="P42" i="140"/>
  <c r="P46" i="140"/>
  <c r="O45" i="140"/>
  <c r="O46" i="140"/>
  <c r="O48" i="140"/>
  <c r="O49" i="140"/>
  <c r="O38" i="140"/>
  <c r="O42" i="140"/>
  <c r="O37" i="140"/>
  <c r="O41" i="140"/>
  <c r="O36" i="140"/>
  <c r="O40" i="140"/>
  <c r="O44" i="140"/>
  <c r="F29" i="140"/>
  <c r="F23" i="140"/>
  <c r="F31" i="140"/>
  <c r="F30" i="140"/>
  <c r="F32" i="140"/>
  <c r="F25" i="140"/>
  <c r="F27" i="140"/>
  <c r="F24" i="140"/>
  <c r="F28" i="140"/>
  <c r="F33" i="140"/>
  <c r="F26" i="140"/>
  <c r="F19" i="140"/>
  <c r="F109" i="140"/>
  <c r="F101" i="140"/>
  <c r="F113" i="140"/>
  <c r="F105" i="140"/>
  <c r="G21" i="168"/>
  <c r="F103" i="140"/>
  <c r="G14" i="168"/>
  <c r="F112" i="140"/>
  <c r="G15" i="168"/>
  <c r="F108" i="140"/>
  <c r="G22" i="168"/>
  <c r="F111" i="140"/>
  <c r="F106" i="140"/>
  <c r="F110" i="140"/>
  <c r="G13" i="168"/>
  <c r="F104" i="140"/>
  <c r="F102" i="140"/>
  <c r="G24" i="168"/>
  <c r="F99" i="140"/>
  <c r="F98" i="140"/>
  <c r="G23" i="168"/>
  <c r="F107" i="140"/>
  <c r="G16" i="168"/>
  <c r="F100" i="140"/>
  <c r="O14" i="163"/>
  <c r="O74" i="130"/>
  <c r="O34" i="130"/>
  <c r="G10" i="100"/>
  <c r="A9" i="164"/>
  <c r="A29" i="164"/>
  <c r="A69" i="164"/>
  <c r="A19" i="164"/>
  <c r="O34" i="163"/>
  <c r="O16" i="163"/>
  <c r="A61" i="163"/>
  <c r="A19" i="163"/>
  <c r="A29" i="163"/>
  <c r="O56" i="130"/>
  <c r="O16" i="130"/>
  <c r="O76" i="130"/>
  <c r="O36" i="130"/>
  <c r="A49" i="164"/>
  <c r="A41" i="164"/>
  <c r="A31" i="164"/>
  <c r="A51" i="164"/>
  <c r="A21" i="164"/>
  <c r="G10" i="173"/>
  <c r="O14" i="130"/>
  <c r="G11" i="100"/>
  <c r="O54" i="130"/>
  <c r="M11" i="173"/>
  <c r="P11" i="173"/>
  <c r="Z11" i="173"/>
  <c r="Q11" i="173"/>
  <c r="R11" i="173"/>
  <c r="AA11" i="173"/>
  <c r="N11" i="173"/>
  <c r="Y11" i="173"/>
  <c r="O11" i="173"/>
  <c r="W11" i="173"/>
  <c r="S11" i="173"/>
  <c r="U11" i="173"/>
  <c r="J11" i="173"/>
  <c r="V11" i="173"/>
  <c r="L11" i="173"/>
  <c r="X11" i="173"/>
  <c r="K11" i="173"/>
  <c r="T11" i="173"/>
  <c r="AB11" i="173"/>
  <c r="B13" i="173"/>
  <c r="C12" i="173"/>
  <c r="C12" i="172"/>
  <c r="P65" i="140"/>
  <c r="P58" i="140"/>
  <c r="P56" i="140"/>
  <c r="P52" i="140"/>
  <c r="P53" i="140"/>
  <c r="P60" i="140"/>
  <c r="P54" i="140"/>
  <c r="P62" i="140"/>
  <c r="P61" i="140"/>
  <c r="P64" i="140"/>
  <c r="N56" i="140"/>
  <c r="N53" i="140"/>
  <c r="N60" i="140"/>
  <c r="N52" i="140"/>
  <c r="N57" i="140"/>
  <c r="N61" i="140"/>
  <c r="N62" i="140"/>
  <c r="N54" i="140"/>
  <c r="N58" i="140"/>
  <c r="N55" i="140"/>
  <c r="N64" i="140"/>
  <c r="N65" i="140"/>
  <c r="R60" i="140"/>
  <c r="R53" i="140"/>
  <c r="R64" i="140"/>
  <c r="R52" i="140"/>
  <c r="R62" i="140"/>
  <c r="R56" i="140"/>
  <c r="R58" i="140"/>
  <c r="R54" i="140"/>
  <c r="Q62" i="140"/>
  <c r="Q64" i="140"/>
  <c r="Q52" i="140"/>
  <c r="Q58" i="140"/>
  <c r="Q60" i="140"/>
  <c r="Q61" i="140"/>
  <c r="Q54" i="140"/>
  <c r="Q56" i="140"/>
  <c r="Q53" i="140"/>
  <c r="M60" i="140"/>
  <c r="M57" i="140"/>
  <c r="M61" i="140"/>
  <c r="M58" i="140"/>
  <c r="M53" i="140"/>
  <c r="M55" i="140"/>
  <c r="M65" i="140"/>
  <c r="M63" i="140"/>
  <c r="M62" i="140"/>
  <c r="M54" i="140"/>
  <c r="M64" i="140"/>
  <c r="M52" i="140"/>
  <c r="M56" i="140"/>
  <c r="S54" i="140"/>
  <c r="S64" i="140"/>
  <c r="S60" i="140"/>
  <c r="S58" i="140"/>
  <c r="S62" i="140"/>
  <c r="S52" i="140"/>
  <c r="S56" i="140"/>
  <c r="K53" i="140"/>
  <c r="K60" i="140"/>
  <c r="K52" i="140"/>
  <c r="K51" i="140"/>
  <c r="K59" i="140"/>
  <c r="E59" i="140" s="1"/>
  <c r="K58" i="140"/>
  <c r="K65" i="140"/>
  <c r="E65" i="140" s="1"/>
  <c r="K64" i="140"/>
  <c r="K62" i="140"/>
  <c r="K57" i="140"/>
  <c r="E57" i="140" s="1"/>
  <c r="K55" i="140"/>
  <c r="E55" i="140" s="1"/>
  <c r="K54" i="140"/>
  <c r="K63" i="140"/>
  <c r="E63" i="140" s="1"/>
  <c r="K56" i="140"/>
  <c r="K61" i="140"/>
  <c r="E50" i="140"/>
  <c r="T60" i="140"/>
  <c r="T56" i="140"/>
  <c r="T58" i="140"/>
  <c r="T54" i="140"/>
  <c r="T62" i="140"/>
  <c r="T64" i="140"/>
  <c r="O57" i="140"/>
  <c r="O56" i="140"/>
  <c r="O60" i="140"/>
  <c r="O52" i="140"/>
  <c r="O58" i="140"/>
  <c r="O61" i="140"/>
  <c r="O54" i="140"/>
  <c r="O62" i="140"/>
  <c r="O65" i="140"/>
  <c r="O64" i="140"/>
  <c r="O53" i="140"/>
  <c r="L64" i="140"/>
  <c r="L63" i="140"/>
  <c r="L54" i="140"/>
  <c r="L53" i="140"/>
  <c r="L56" i="140"/>
  <c r="L65" i="140"/>
  <c r="L60" i="140"/>
  <c r="L59" i="140"/>
  <c r="L61" i="140"/>
  <c r="L58" i="140"/>
  <c r="L52" i="140"/>
  <c r="L57" i="140"/>
  <c r="L55" i="140"/>
  <c r="L62" i="140"/>
  <c r="U54" i="140"/>
  <c r="U64" i="140"/>
  <c r="U62" i="140"/>
  <c r="U56" i="140"/>
  <c r="U58" i="140"/>
  <c r="W41" i="140"/>
  <c r="F41" i="140" s="1"/>
  <c r="W48" i="140"/>
  <c r="F48" i="140" s="1"/>
  <c r="W45" i="140"/>
  <c r="F45" i="140" s="1"/>
  <c r="W49" i="140"/>
  <c r="F49" i="140" s="1"/>
  <c r="W47" i="140"/>
  <c r="F47" i="140" s="1"/>
  <c r="W43" i="140"/>
  <c r="F43" i="140" s="1"/>
  <c r="W42" i="140"/>
  <c r="F42" i="140" s="1"/>
  <c r="W36" i="140"/>
  <c r="F36" i="140" s="1"/>
  <c r="W39" i="140"/>
  <c r="F39" i="140" s="1"/>
  <c r="W35" i="140"/>
  <c r="W44" i="140"/>
  <c r="F44" i="140" s="1"/>
  <c r="W40" i="140"/>
  <c r="F40" i="140" s="1"/>
  <c r="W46" i="140"/>
  <c r="F46" i="140" s="1"/>
  <c r="W38" i="140"/>
  <c r="F38" i="140" s="1"/>
  <c r="W37" i="140"/>
  <c r="F37" i="140" s="1"/>
  <c r="F34" i="140"/>
  <c r="X41" i="140"/>
  <c r="X44" i="140"/>
  <c r="X35" i="140"/>
  <c r="X38" i="140"/>
  <c r="X40" i="140"/>
  <c r="X48" i="140"/>
  <c r="X47" i="140"/>
  <c r="X39" i="140"/>
  <c r="X45" i="140"/>
  <c r="X43" i="140"/>
  <c r="X42" i="140"/>
  <c r="X49" i="140"/>
  <c r="X46" i="140"/>
  <c r="Y49" i="140"/>
  <c r="Y42" i="140"/>
  <c r="Y43" i="140"/>
  <c r="Y40" i="140"/>
  <c r="Y38" i="140"/>
  <c r="Y46" i="140"/>
  <c r="Y39" i="140"/>
  <c r="Y47" i="140"/>
  <c r="Y35" i="140"/>
  <c r="Y41" i="140"/>
  <c r="Y48" i="140"/>
  <c r="S12" i="100"/>
  <c r="AB12" i="100"/>
  <c r="L12" i="100"/>
  <c r="O12" i="100"/>
  <c r="V12" i="100"/>
  <c r="N12" i="100"/>
  <c r="AA12" i="100"/>
  <c r="Y12" i="100"/>
  <c r="U12" i="100"/>
  <c r="Q12" i="100"/>
  <c r="X12" i="100"/>
  <c r="M12" i="100"/>
  <c r="K12" i="100"/>
  <c r="T12" i="100"/>
  <c r="P12" i="100"/>
  <c r="W12" i="100"/>
  <c r="Z12" i="100"/>
  <c r="R12" i="100"/>
  <c r="J12" i="100"/>
  <c r="G10" i="168"/>
  <c r="E35" i="140"/>
  <c r="G17" i="168"/>
  <c r="G11" i="168"/>
  <c r="G9" i="168"/>
  <c r="G11" i="173"/>
  <c r="G19" i="168"/>
  <c r="B14" i="100"/>
  <c r="A15" i="100"/>
  <c r="G20" i="168"/>
  <c r="A17" i="173"/>
  <c r="C13" i="100"/>
  <c r="G12" i="168"/>
  <c r="E12" i="100"/>
  <c r="G18" i="168"/>
  <c r="S66" i="140"/>
  <c r="R66" i="140"/>
  <c r="Q66" i="140"/>
  <c r="K66" i="140"/>
  <c r="T66" i="140"/>
  <c r="M66" i="140"/>
  <c r="U66" i="140"/>
  <c r="L66" i="140"/>
  <c r="N66" i="140"/>
  <c r="D13" i="100"/>
  <c r="W50" i="140"/>
  <c r="O66" i="140"/>
  <c r="Y50" i="140"/>
  <c r="X50" i="140"/>
  <c r="P66" i="140"/>
  <c r="O76" i="163" l="1"/>
  <c r="O56" i="163"/>
  <c r="A49" i="163"/>
  <c r="O36" i="163"/>
  <c r="A59" i="163"/>
  <c r="A39" i="163"/>
  <c r="O74" i="163"/>
  <c r="A21" i="163"/>
  <c r="O54" i="163"/>
  <c r="A69" i="163"/>
  <c r="A79" i="163"/>
  <c r="A81" i="163"/>
  <c r="B14" i="173"/>
  <c r="B14" i="172" s="1"/>
  <c r="F14" i="172" s="1"/>
  <c r="E14" i="172" s="1"/>
  <c r="B13" i="172"/>
  <c r="F13" i="172" s="1"/>
  <c r="E13" i="172" s="1"/>
  <c r="O14" i="164"/>
  <c r="O34" i="164"/>
  <c r="O76" i="164"/>
  <c r="A41" i="165"/>
  <c r="A11" i="164"/>
  <c r="O16" i="164"/>
  <c r="O74" i="164"/>
  <c r="O54" i="164"/>
  <c r="O56" i="164"/>
  <c r="O36" i="164"/>
  <c r="A71" i="165"/>
  <c r="A31" i="165"/>
  <c r="A81" i="165"/>
  <c r="A51" i="165"/>
  <c r="A9" i="165"/>
  <c r="G12" i="172"/>
  <c r="H12" i="172" s="1"/>
  <c r="E52" i="140"/>
  <c r="E58" i="140"/>
  <c r="E60" i="140"/>
  <c r="E62" i="140"/>
  <c r="E53" i="140"/>
  <c r="E61" i="140"/>
  <c r="E56" i="140"/>
  <c r="E64" i="140"/>
  <c r="E54" i="140"/>
  <c r="D12" i="173"/>
  <c r="E12" i="173"/>
  <c r="C13" i="173"/>
  <c r="E13" i="173" s="1"/>
  <c r="Z13" i="100"/>
  <c r="S13" i="100"/>
  <c r="Q13" i="100"/>
  <c r="K13" i="100"/>
  <c r="R13" i="100"/>
  <c r="M13" i="100"/>
  <c r="N13" i="100"/>
  <c r="L13" i="100"/>
  <c r="V13" i="100"/>
  <c r="P13" i="100"/>
  <c r="X13" i="100"/>
  <c r="W13" i="100"/>
  <c r="Y13" i="100"/>
  <c r="U13" i="100"/>
  <c r="T13" i="100"/>
  <c r="AB13" i="100"/>
  <c r="O13" i="100"/>
  <c r="AA13" i="100"/>
  <c r="J13" i="100"/>
  <c r="T76" i="140"/>
  <c r="T74" i="140"/>
  <c r="T72" i="140"/>
  <c r="T78" i="140"/>
  <c r="T70" i="140"/>
  <c r="T80" i="140"/>
  <c r="U70" i="140"/>
  <c r="U74" i="140"/>
  <c r="U72" i="140"/>
  <c r="U80" i="140"/>
  <c r="U78" i="140"/>
  <c r="Q70" i="140"/>
  <c r="Q69" i="140"/>
  <c r="Q80" i="140"/>
  <c r="Q68" i="140"/>
  <c r="Q78" i="140"/>
  <c r="Q74" i="140"/>
  <c r="Q77" i="140"/>
  <c r="Q76" i="140"/>
  <c r="Q72" i="140"/>
  <c r="K71" i="140"/>
  <c r="E71" i="140" s="1"/>
  <c r="A31" i="166" s="1"/>
  <c r="K80" i="140"/>
  <c r="E80" i="140" s="1"/>
  <c r="A79" i="166" s="1"/>
  <c r="K75" i="140"/>
  <c r="E75" i="140" s="1"/>
  <c r="A51" i="166" s="1"/>
  <c r="K69" i="140"/>
  <c r="E69" i="140" s="1"/>
  <c r="A21" i="166" s="1"/>
  <c r="K81" i="140"/>
  <c r="E81" i="140" s="1"/>
  <c r="A81" i="166" s="1"/>
  <c r="K73" i="140"/>
  <c r="E73" i="140" s="1"/>
  <c r="A41" i="166" s="1"/>
  <c r="K79" i="140"/>
  <c r="E79" i="140" s="1"/>
  <c r="A71" i="166" s="1"/>
  <c r="K68" i="140"/>
  <c r="E68" i="140" s="1"/>
  <c r="A19" i="166" s="1"/>
  <c r="K78" i="140"/>
  <c r="E78" i="140" s="1"/>
  <c r="A69" i="166" s="1"/>
  <c r="K76" i="140"/>
  <c r="E76" i="140" s="1"/>
  <c r="A59" i="166" s="1"/>
  <c r="K72" i="140"/>
  <c r="E72" i="140" s="1"/>
  <c r="A39" i="166" s="1"/>
  <c r="K70" i="140"/>
  <c r="E70" i="140" s="1"/>
  <c r="A29" i="166" s="1"/>
  <c r="K67" i="140"/>
  <c r="K74" i="140"/>
  <c r="E74" i="140" s="1"/>
  <c r="A49" i="166" s="1"/>
  <c r="K77" i="140"/>
  <c r="E77" i="140" s="1"/>
  <c r="A61" i="166" s="1"/>
  <c r="E66" i="140"/>
  <c r="A9" i="166" s="1"/>
  <c r="L78" i="140"/>
  <c r="L75" i="140"/>
  <c r="L81" i="140"/>
  <c r="L80" i="140"/>
  <c r="L73" i="140"/>
  <c r="L69" i="140"/>
  <c r="L68" i="140"/>
  <c r="L74" i="140"/>
  <c r="L71" i="140"/>
  <c r="L72" i="140"/>
  <c r="L79" i="140"/>
  <c r="L76" i="140"/>
  <c r="L77" i="140"/>
  <c r="L70" i="140"/>
  <c r="O68" i="140"/>
  <c r="O80" i="140"/>
  <c r="O72" i="140"/>
  <c r="O74" i="140"/>
  <c r="O73" i="140"/>
  <c r="O69" i="140"/>
  <c r="O77" i="140"/>
  <c r="O76" i="140"/>
  <c r="O78" i="140"/>
  <c r="O81" i="140"/>
  <c r="O70" i="140"/>
  <c r="R80" i="140"/>
  <c r="R70" i="140"/>
  <c r="R68" i="140"/>
  <c r="R78" i="140"/>
  <c r="R69" i="140"/>
  <c r="R74" i="140"/>
  <c r="R72" i="140"/>
  <c r="R76" i="140"/>
  <c r="P76" i="140"/>
  <c r="P69" i="140"/>
  <c r="P72" i="140"/>
  <c r="P74" i="140"/>
  <c r="P81" i="140"/>
  <c r="P80" i="140"/>
  <c r="P78" i="140"/>
  <c r="P77" i="140"/>
  <c r="P68" i="140"/>
  <c r="P70" i="140"/>
  <c r="M71" i="140"/>
  <c r="M80" i="140"/>
  <c r="M78" i="140"/>
  <c r="M69" i="140"/>
  <c r="M74" i="140"/>
  <c r="M70" i="140"/>
  <c r="M73" i="140"/>
  <c r="M79" i="140"/>
  <c r="M77" i="140"/>
  <c r="M68" i="140"/>
  <c r="M76" i="140"/>
  <c r="M72" i="140"/>
  <c r="M81" i="140"/>
  <c r="S72" i="140"/>
  <c r="S68" i="140"/>
  <c r="S76" i="140"/>
  <c r="S80" i="140"/>
  <c r="S74" i="140"/>
  <c r="S70" i="140"/>
  <c r="S78" i="140"/>
  <c r="N78" i="140"/>
  <c r="N70" i="140"/>
  <c r="N73" i="140"/>
  <c r="N69" i="140"/>
  <c r="N71" i="140"/>
  <c r="N76" i="140"/>
  <c r="N77" i="140"/>
  <c r="N68" i="140"/>
  <c r="N81" i="140"/>
  <c r="N74" i="140"/>
  <c r="N80" i="140"/>
  <c r="N72" i="140"/>
  <c r="X59" i="140"/>
  <c r="X57" i="140"/>
  <c r="X62" i="140"/>
  <c r="X56" i="140"/>
  <c r="X54" i="140"/>
  <c r="X63" i="140"/>
  <c r="X65" i="140"/>
  <c r="X55" i="140"/>
  <c r="X51" i="140"/>
  <c r="X60" i="140"/>
  <c r="X64" i="140"/>
  <c r="X61" i="140"/>
  <c r="X58" i="140"/>
  <c r="W65" i="140"/>
  <c r="F65" i="140" s="1"/>
  <c r="W56" i="140"/>
  <c r="F56" i="140" s="1"/>
  <c r="W61" i="140"/>
  <c r="F61" i="140" s="1"/>
  <c r="W64" i="140"/>
  <c r="F64" i="140" s="1"/>
  <c r="W57" i="140"/>
  <c r="F57" i="140" s="1"/>
  <c r="W54" i="140"/>
  <c r="F54" i="140" s="1"/>
  <c r="W52" i="140"/>
  <c r="F52" i="140" s="1"/>
  <c r="W63" i="140"/>
  <c r="F63" i="140" s="1"/>
  <c r="W55" i="140"/>
  <c r="F55" i="140" s="1"/>
  <c r="W60" i="140"/>
  <c r="F60" i="140" s="1"/>
  <c r="W51" i="140"/>
  <c r="W58" i="140"/>
  <c r="F58" i="140" s="1"/>
  <c r="W53" i="140"/>
  <c r="F53" i="140" s="1"/>
  <c r="W62" i="140"/>
  <c r="F62" i="140" s="1"/>
  <c r="W59" i="140"/>
  <c r="F59" i="140" s="1"/>
  <c r="F50" i="140"/>
  <c r="Y56" i="140"/>
  <c r="Y57" i="140"/>
  <c r="Y54" i="140"/>
  <c r="Y65" i="140"/>
  <c r="Y55" i="140"/>
  <c r="Y58" i="140"/>
  <c r="Y63" i="140"/>
  <c r="Y59" i="140"/>
  <c r="Y51" i="140"/>
  <c r="Y64" i="140"/>
  <c r="Y62" i="140"/>
  <c r="E13" i="100"/>
  <c r="E51" i="140"/>
  <c r="A18" i="173"/>
  <c r="F35" i="140"/>
  <c r="B15" i="100"/>
  <c r="A16" i="100"/>
  <c r="G12" i="100"/>
  <c r="F12" i="100"/>
  <c r="I12" i="100"/>
  <c r="H12" i="100"/>
  <c r="C14" i="100"/>
  <c r="D14" i="100" s="1"/>
  <c r="Y66" i="140"/>
  <c r="L82" i="140"/>
  <c r="P82" i="140"/>
  <c r="M82" i="140"/>
  <c r="X66" i="140"/>
  <c r="Q82" i="140"/>
  <c r="AE6" i="140"/>
  <c r="T82" i="140"/>
  <c r="R82" i="140"/>
  <c r="O82" i="140"/>
  <c r="U82" i="140"/>
  <c r="N82" i="140"/>
  <c r="W66" i="140"/>
  <c r="K82" i="140"/>
  <c r="S82" i="140"/>
  <c r="AE5" i="140"/>
  <c r="C13" i="172" l="1"/>
  <c r="G13" i="172" s="1"/>
  <c r="H13" i="172" s="1"/>
  <c r="B15" i="173"/>
  <c r="C15" i="173" s="1"/>
  <c r="E15" i="173" s="1"/>
  <c r="F15" i="173" s="1"/>
  <c r="C14" i="173"/>
  <c r="E14" i="173" s="1"/>
  <c r="J14" i="100"/>
  <c r="A11" i="165"/>
  <c r="O16" i="165"/>
  <c r="O36" i="165"/>
  <c r="O56" i="165"/>
  <c r="O76" i="165"/>
  <c r="A79" i="165"/>
  <c r="A61" i="165"/>
  <c r="A69" i="165"/>
  <c r="A49" i="165"/>
  <c r="O14" i="165"/>
  <c r="O74" i="165"/>
  <c r="O54" i="165"/>
  <c r="O34" i="165"/>
  <c r="A29" i="165"/>
  <c r="A39" i="165"/>
  <c r="A21" i="165"/>
  <c r="A59" i="165"/>
  <c r="A19" i="165"/>
  <c r="AC5" i="140"/>
  <c r="G13" i="173"/>
  <c r="F13" i="173"/>
  <c r="H13" i="173"/>
  <c r="I13" i="173"/>
  <c r="G12" i="173"/>
  <c r="F12" i="173"/>
  <c r="H12" i="173"/>
  <c r="I12" i="173"/>
  <c r="D13" i="173"/>
  <c r="M12" i="173"/>
  <c r="T12" i="173"/>
  <c r="K12" i="173"/>
  <c r="AB12" i="173"/>
  <c r="AA12" i="173"/>
  <c r="W12" i="173"/>
  <c r="N12" i="173"/>
  <c r="L12" i="173"/>
  <c r="V12" i="173"/>
  <c r="X12" i="173"/>
  <c r="R12" i="173"/>
  <c r="J12" i="173"/>
  <c r="Z12" i="173"/>
  <c r="O12" i="173"/>
  <c r="U12" i="173"/>
  <c r="Q12" i="173"/>
  <c r="S12" i="173"/>
  <c r="P12" i="173"/>
  <c r="Y12" i="173"/>
  <c r="C14" i="172"/>
  <c r="Y81" i="140"/>
  <c r="Y70" i="140"/>
  <c r="Y80" i="140"/>
  <c r="Y74" i="140"/>
  <c r="Y72" i="140"/>
  <c r="Y73" i="140"/>
  <c r="Y71" i="140"/>
  <c r="Y75" i="140"/>
  <c r="Y67" i="140"/>
  <c r="Y78" i="140"/>
  <c r="Y79" i="140"/>
  <c r="W73" i="140"/>
  <c r="F73" i="140" s="1"/>
  <c r="O36" i="166" s="1"/>
  <c r="W67" i="140"/>
  <c r="W75" i="140"/>
  <c r="F75" i="140" s="1"/>
  <c r="W78" i="140"/>
  <c r="F78" i="140" s="1"/>
  <c r="O74" i="166" s="1"/>
  <c r="W74" i="140"/>
  <c r="F74" i="140" s="1"/>
  <c r="O54" i="166" s="1"/>
  <c r="W81" i="140"/>
  <c r="F81" i="140" s="1"/>
  <c r="O76" i="166" s="1"/>
  <c r="W76" i="140"/>
  <c r="F76" i="140" s="1"/>
  <c r="W70" i="140"/>
  <c r="F70" i="140" s="1"/>
  <c r="O34" i="166" s="1"/>
  <c r="W77" i="140"/>
  <c r="F77" i="140" s="1"/>
  <c r="O56" i="166" s="1"/>
  <c r="W72" i="140"/>
  <c r="F72" i="140" s="1"/>
  <c r="W68" i="140"/>
  <c r="F68" i="140" s="1"/>
  <c r="W80" i="140"/>
  <c r="F80" i="140" s="1"/>
  <c r="W69" i="140"/>
  <c r="F69" i="140" s="1"/>
  <c r="O16" i="166" s="1"/>
  <c r="W79" i="140"/>
  <c r="F79" i="140" s="1"/>
  <c r="W71" i="140"/>
  <c r="F71" i="140" s="1"/>
  <c r="F66" i="140"/>
  <c r="O14" i="166" s="1"/>
  <c r="X74" i="140"/>
  <c r="X79" i="140"/>
  <c r="X81" i="140"/>
  <c r="X73" i="140"/>
  <c r="X78" i="140"/>
  <c r="X72" i="140"/>
  <c r="X75" i="140"/>
  <c r="X80" i="140"/>
  <c r="X76" i="140"/>
  <c r="X67" i="140"/>
  <c r="X70" i="140"/>
  <c r="X77" i="140"/>
  <c r="X71" i="140"/>
  <c r="L14" i="100"/>
  <c r="K14" i="100"/>
  <c r="M14" i="100"/>
  <c r="S14" i="100"/>
  <c r="N14" i="100"/>
  <c r="O14" i="100"/>
  <c r="R14" i="100"/>
  <c r="Y14" i="100"/>
  <c r="Q14" i="100"/>
  <c r="W14" i="100"/>
  <c r="P14" i="100"/>
  <c r="Z14" i="100"/>
  <c r="T14" i="100"/>
  <c r="AB14" i="100"/>
  <c r="AA14" i="100"/>
  <c r="V14" i="100"/>
  <c r="U14" i="100"/>
  <c r="X14" i="100"/>
  <c r="AC6" i="140"/>
  <c r="U86" i="140"/>
  <c r="U90" i="140"/>
  <c r="U88" i="140"/>
  <c r="U96" i="140"/>
  <c r="U94" i="140"/>
  <c r="S84" i="140"/>
  <c r="S88" i="140"/>
  <c r="S94" i="140"/>
  <c r="S90" i="140"/>
  <c r="S92" i="140"/>
  <c r="S96" i="140"/>
  <c r="S86" i="140"/>
  <c r="L84" i="140"/>
  <c r="L90" i="140"/>
  <c r="L88" i="140"/>
  <c r="L87" i="140"/>
  <c r="L92" i="140"/>
  <c r="L93" i="140"/>
  <c r="L86" i="140"/>
  <c r="L91" i="140"/>
  <c r="L89" i="140"/>
  <c r="L94" i="140"/>
  <c r="L85" i="140"/>
  <c r="L96" i="140"/>
  <c r="L97" i="140"/>
  <c r="L95" i="140"/>
  <c r="R94" i="140"/>
  <c r="R85" i="140"/>
  <c r="R86" i="140"/>
  <c r="R90" i="140"/>
  <c r="R96" i="140"/>
  <c r="R84" i="140"/>
  <c r="R92" i="140"/>
  <c r="R88" i="140"/>
  <c r="O97" i="140"/>
  <c r="O96" i="140"/>
  <c r="O86" i="140"/>
  <c r="O90" i="140"/>
  <c r="O92" i="140"/>
  <c r="O88" i="140"/>
  <c r="O89" i="140"/>
  <c r="O94" i="140"/>
  <c r="O85" i="140"/>
  <c r="O93" i="140"/>
  <c r="O84" i="140"/>
  <c r="P97" i="140"/>
  <c r="P93" i="140"/>
  <c r="P96" i="140"/>
  <c r="P84" i="140"/>
  <c r="P85" i="140"/>
  <c r="P86" i="140"/>
  <c r="P92" i="140"/>
  <c r="P94" i="140"/>
  <c r="P90" i="140"/>
  <c r="P88" i="140"/>
  <c r="Q93" i="140"/>
  <c r="Q94" i="140"/>
  <c r="Q88" i="140"/>
  <c r="Q92" i="140"/>
  <c r="Q96" i="140"/>
  <c r="Q90" i="140"/>
  <c r="Q86" i="140"/>
  <c r="Q84" i="140"/>
  <c r="Q85" i="140"/>
  <c r="M93" i="140"/>
  <c r="M88" i="140"/>
  <c r="M95" i="140"/>
  <c r="M87" i="140"/>
  <c r="M92" i="140"/>
  <c r="M94" i="140"/>
  <c r="M84" i="140"/>
  <c r="M86" i="140"/>
  <c r="M96" i="140"/>
  <c r="M90" i="140"/>
  <c r="M89" i="140"/>
  <c r="M85" i="140"/>
  <c r="M97" i="140"/>
  <c r="N97" i="140"/>
  <c r="N87" i="140"/>
  <c r="N86" i="140"/>
  <c r="N96" i="140"/>
  <c r="N88" i="140"/>
  <c r="N89" i="140"/>
  <c r="N92" i="140"/>
  <c r="N84" i="140"/>
  <c r="N90" i="140"/>
  <c r="N94" i="140"/>
  <c r="N93" i="140"/>
  <c r="N85" i="140"/>
  <c r="K87" i="140"/>
  <c r="K85" i="140"/>
  <c r="K84" i="140"/>
  <c r="K94" i="140"/>
  <c r="K95" i="140"/>
  <c r="K89" i="140"/>
  <c r="K90" i="140"/>
  <c r="K97" i="140"/>
  <c r="K93" i="140"/>
  <c r="K96" i="140"/>
  <c r="K83" i="140"/>
  <c r="K91" i="140"/>
  <c r="K88" i="140"/>
  <c r="K86" i="140"/>
  <c r="K92" i="140"/>
  <c r="T96" i="140"/>
  <c r="T88" i="140"/>
  <c r="T92" i="140"/>
  <c r="T94" i="140"/>
  <c r="T90" i="140"/>
  <c r="T86" i="140"/>
  <c r="C15" i="100"/>
  <c r="A19" i="173"/>
  <c r="F51" i="140"/>
  <c r="E14" i="100"/>
  <c r="H13" i="100"/>
  <c r="G13" i="100"/>
  <c r="I13" i="100"/>
  <c r="F13" i="100"/>
  <c r="B16" i="100"/>
  <c r="A17" i="100"/>
  <c r="E67" i="140"/>
  <c r="A11" i="166" s="1"/>
  <c r="AE7" i="140"/>
  <c r="Y82" i="140"/>
  <c r="X82" i="140"/>
  <c r="W82" i="140"/>
  <c r="D15" i="100"/>
  <c r="G15" i="173" l="1"/>
  <c r="I15" i="173"/>
  <c r="B16" i="173"/>
  <c r="B16" i="172" s="1"/>
  <c r="F16" i="172" s="1"/>
  <c r="E16" i="172" s="1"/>
  <c r="H15" i="173"/>
  <c r="B15" i="172"/>
  <c r="F15" i="172" s="1"/>
  <c r="E15" i="172" s="1"/>
  <c r="G14" i="172"/>
  <c r="H14" i="172" s="1"/>
  <c r="D14" i="173"/>
  <c r="H14" i="173"/>
  <c r="I14" i="173"/>
  <c r="G14" i="173"/>
  <c r="F14" i="173"/>
  <c r="AB13" i="173"/>
  <c r="V13" i="173"/>
  <c r="R13" i="173"/>
  <c r="M13" i="173"/>
  <c r="N13" i="173"/>
  <c r="S13" i="173"/>
  <c r="P13" i="173"/>
  <c r="Z13" i="173"/>
  <c r="X13" i="173"/>
  <c r="U13" i="173"/>
  <c r="O13" i="173"/>
  <c r="Q13" i="173"/>
  <c r="L13" i="173"/>
  <c r="W13" i="173"/>
  <c r="AA13" i="173"/>
  <c r="Y13" i="173"/>
  <c r="J13" i="173"/>
  <c r="T13" i="173"/>
  <c r="K13" i="173"/>
  <c r="U15" i="100"/>
  <c r="AA15" i="100"/>
  <c r="L15" i="100"/>
  <c r="Z15" i="100"/>
  <c r="Y15" i="100"/>
  <c r="M15" i="100"/>
  <c r="O15" i="100"/>
  <c r="K15" i="100"/>
  <c r="S15" i="100"/>
  <c r="Q15" i="100"/>
  <c r="T15" i="100"/>
  <c r="W15" i="100"/>
  <c r="N15" i="100"/>
  <c r="V15" i="100"/>
  <c r="AB15" i="100"/>
  <c r="X15" i="100"/>
  <c r="P15" i="100"/>
  <c r="R15" i="100"/>
  <c r="J15" i="100"/>
  <c r="W86" i="140"/>
  <c r="F86" i="140" s="1"/>
  <c r="O34" i="167" s="1"/>
  <c r="W89" i="140"/>
  <c r="F89" i="140" s="1"/>
  <c r="O36" i="167" s="1"/>
  <c r="W93" i="140"/>
  <c r="F93" i="140" s="1"/>
  <c r="O56" i="167" s="1"/>
  <c r="W90" i="140"/>
  <c r="F90" i="140" s="1"/>
  <c r="O54" i="167" s="1"/>
  <c r="W88" i="140"/>
  <c r="F88" i="140" s="1"/>
  <c r="W87" i="140"/>
  <c r="F87" i="140" s="1"/>
  <c r="W84" i="140"/>
  <c r="F84" i="140" s="1"/>
  <c r="W94" i="140"/>
  <c r="F94" i="140" s="1"/>
  <c r="O74" i="167" s="1"/>
  <c r="W83" i="140"/>
  <c r="F83" i="140" s="1"/>
  <c r="W85" i="140"/>
  <c r="F85" i="140" s="1"/>
  <c r="O16" i="167" s="1"/>
  <c r="W92" i="140"/>
  <c r="F92" i="140" s="1"/>
  <c r="W97" i="140"/>
  <c r="F97" i="140" s="1"/>
  <c r="O76" i="167" s="1"/>
  <c r="W91" i="140"/>
  <c r="F91" i="140" s="1"/>
  <c r="W95" i="140"/>
  <c r="F95" i="140" s="1"/>
  <c r="W96" i="140"/>
  <c r="F96" i="140" s="1"/>
  <c r="F82" i="140"/>
  <c r="O14" i="167" s="1"/>
  <c r="X90" i="140"/>
  <c r="X87" i="140"/>
  <c r="X94" i="140"/>
  <c r="X95" i="140"/>
  <c r="X91" i="140"/>
  <c r="X96" i="140"/>
  <c r="X89" i="140"/>
  <c r="X86" i="140"/>
  <c r="X97" i="140"/>
  <c r="X88" i="140"/>
  <c r="X92" i="140"/>
  <c r="X93" i="140"/>
  <c r="X83" i="140"/>
  <c r="Y87" i="140"/>
  <c r="Y95" i="140"/>
  <c r="Y94" i="140"/>
  <c r="Y91" i="140"/>
  <c r="Y97" i="140"/>
  <c r="Y89" i="140"/>
  <c r="Y83" i="140"/>
  <c r="Y88" i="140"/>
  <c r="Y86" i="140"/>
  <c r="Y90" i="140"/>
  <c r="Y96" i="140"/>
  <c r="AC7" i="140"/>
  <c r="E15" i="100"/>
  <c r="F67" i="140"/>
  <c r="B17" i="100"/>
  <c r="A18" i="100"/>
  <c r="A20" i="173"/>
  <c r="H14" i="100"/>
  <c r="F14" i="100"/>
  <c r="I14" i="100"/>
  <c r="G14" i="100"/>
  <c r="C16" i="100"/>
  <c r="AE8" i="140"/>
  <c r="D16" i="100"/>
  <c r="B17" i="173" l="1"/>
  <c r="B17" i="172" s="1"/>
  <c r="F17" i="172" s="1"/>
  <c r="E17" i="172" s="1"/>
  <c r="C16" i="173"/>
  <c r="E16" i="173" s="1"/>
  <c r="C15" i="172"/>
  <c r="G15" i="172" s="1"/>
  <c r="H15" i="172" s="1"/>
  <c r="M14" i="173"/>
  <c r="R14" i="173"/>
  <c r="J14" i="173"/>
  <c r="Y14" i="173"/>
  <c r="K14" i="173"/>
  <c r="U14" i="173"/>
  <c r="AB14" i="173"/>
  <c r="T14" i="173"/>
  <c r="AA14" i="173"/>
  <c r="S14" i="173"/>
  <c r="Z14" i="173"/>
  <c r="D15" i="173"/>
  <c r="O14" i="173"/>
  <c r="Q14" i="173"/>
  <c r="X14" i="173"/>
  <c r="W14" i="173"/>
  <c r="P14" i="173"/>
  <c r="L14" i="173"/>
  <c r="V14" i="173"/>
  <c r="N14" i="173"/>
  <c r="C16" i="172"/>
  <c r="AC8" i="140"/>
  <c r="AB16" i="100"/>
  <c r="P16" i="100"/>
  <c r="Y16" i="100"/>
  <c r="W16" i="100"/>
  <c r="R16" i="100"/>
  <c r="AA16" i="100"/>
  <c r="Z16" i="100"/>
  <c r="Q16" i="100"/>
  <c r="K16" i="100"/>
  <c r="X16" i="100"/>
  <c r="L16" i="100"/>
  <c r="N16" i="100"/>
  <c r="U16" i="100"/>
  <c r="M16" i="100"/>
  <c r="O16" i="100"/>
  <c r="T16" i="100"/>
  <c r="V16" i="100"/>
  <c r="S16" i="100"/>
  <c r="J16" i="100"/>
  <c r="C17" i="100"/>
  <c r="A21" i="173"/>
  <c r="G15" i="100"/>
  <c r="F15" i="100"/>
  <c r="I15" i="100"/>
  <c r="H15" i="100"/>
  <c r="E16" i="100"/>
  <c r="B18" i="100"/>
  <c r="A19" i="100"/>
  <c r="AE9" i="140"/>
  <c r="D17" i="100"/>
  <c r="B18" i="173" l="1"/>
  <c r="B18" i="172" s="1"/>
  <c r="F18" i="172" s="1"/>
  <c r="E18" i="172" s="1"/>
  <c r="C17" i="173"/>
  <c r="E17" i="173" s="1"/>
  <c r="G16" i="172"/>
  <c r="H16" i="172" s="1"/>
  <c r="S15" i="173"/>
  <c r="X15" i="173"/>
  <c r="L15" i="173"/>
  <c r="M15" i="173"/>
  <c r="O15" i="173"/>
  <c r="Y15" i="173"/>
  <c r="AB15" i="173"/>
  <c r="U15" i="173"/>
  <c r="N15" i="173"/>
  <c r="AA15" i="173"/>
  <c r="D16" i="173"/>
  <c r="W15" i="173"/>
  <c r="J15" i="173"/>
  <c r="V15" i="173"/>
  <c r="K15" i="173"/>
  <c r="R15" i="173"/>
  <c r="T15" i="173"/>
  <c r="Z15" i="173"/>
  <c r="Q15" i="173"/>
  <c r="P15" i="173"/>
  <c r="H16" i="173"/>
  <c r="F16" i="173"/>
  <c r="G16" i="173"/>
  <c r="I16" i="173"/>
  <c r="C17" i="172"/>
  <c r="AC9" i="140"/>
  <c r="U17" i="100"/>
  <c r="K17" i="100"/>
  <c r="P17" i="100"/>
  <c r="Z17" i="100"/>
  <c r="W17" i="100"/>
  <c r="T17" i="100"/>
  <c r="M17" i="100"/>
  <c r="R17" i="100"/>
  <c r="V17" i="100"/>
  <c r="X17" i="100"/>
  <c r="Y17" i="100"/>
  <c r="AA17" i="100"/>
  <c r="N17" i="100"/>
  <c r="S17" i="100"/>
  <c r="Q17" i="100"/>
  <c r="L17" i="100"/>
  <c r="AB17" i="100"/>
  <c r="O17" i="100"/>
  <c r="J17" i="100"/>
  <c r="B19" i="100"/>
  <c r="A20" i="100"/>
  <c r="G16" i="100"/>
  <c r="H16" i="100"/>
  <c r="I16" i="100"/>
  <c r="F16" i="100"/>
  <c r="C18" i="100"/>
  <c r="A22" i="173"/>
  <c r="E17" i="100"/>
  <c r="D18" i="100"/>
  <c r="AE10" i="140"/>
  <c r="B19" i="173" l="1"/>
  <c r="C19" i="173" s="1"/>
  <c r="E19" i="173" s="1"/>
  <c r="F19" i="173" s="1"/>
  <c r="C18" i="173"/>
  <c r="E18" i="173" s="1"/>
  <c r="J18" i="100"/>
  <c r="G17" i="172"/>
  <c r="H17" i="172" s="1"/>
  <c r="X16" i="173"/>
  <c r="J16" i="173"/>
  <c r="M16" i="173"/>
  <c r="W16" i="173"/>
  <c r="N16" i="173"/>
  <c r="V16" i="173"/>
  <c r="AB16" i="173"/>
  <c r="L16" i="173"/>
  <c r="P16" i="173"/>
  <c r="S16" i="173"/>
  <c r="AA16" i="173"/>
  <c r="T16" i="173"/>
  <c r="Y16" i="173"/>
  <c r="R16" i="173"/>
  <c r="K16" i="173"/>
  <c r="O16" i="173"/>
  <c r="Z16" i="173"/>
  <c r="U16" i="173"/>
  <c r="D17" i="173"/>
  <c r="Q16" i="173"/>
  <c r="F17" i="173"/>
  <c r="G17" i="173"/>
  <c r="H17" i="173"/>
  <c r="I17" i="173"/>
  <c r="C18" i="172"/>
  <c r="AA18" i="100"/>
  <c r="Q18" i="100"/>
  <c r="U18" i="100"/>
  <c r="AB18" i="100"/>
  <c r="M18" i="100"/>
  <c r="Y18" i="100"/>
  <c r="X18" i="100"/>
  <c r="Z18" i="100"/>
  <c r="L18" i="100"/>
  <c r="P18" i="100"/>
  <c r="W18" i="100"/>
  <c r="R18" i="100"/>
  <c r="K18" i="100"/>
  <c r="N18" i="100"/>
  <c r="S18" i="100"/>
  <c r="O18" i="100"/>
  <c r="V18" i="100"/>
  <c r="T18" i="100"/>
  <c r="AC10" i="140"/>
  <c r="A23" i="173"/>
  <c r="E18" i="100"/>
  <c r="B20" i="100"/>
  <c r="A21" i="100"/>
  <c r="C19" i="100"/>
  <c r="F17" i="100"/>
  <c r="H17" i="100"/>
  <c r="I17" i="100"/>
  <c r="G17" i="100"/>
  <c r="AE11" i="140"/>
  <c r="D19" i="100"/>
  <c r="I19" i="173" l="1"/>
  <c r="B20" i="173"/>
  <c r="B20" i="172" s="1"/>
  <c r="F20" i="172" s="1"/>
  <c r="E20" i="172" s="1"/>
  <c r="G19" i="173"/>
  <c r="H19" i="173"/>
  <c r="B19" i="172"/>
  <c r="F19" i="172" s="1"/>
  <c r="E19" i="172" s="1"/>
  <c r="G18" i="172"/>
  <c r="H18" i="172" s="1"/>
  <c r="O17" i="173"/>
  <c r="J17" i="173"/>
  <c r="S17" i="173"/>
  <c r="M17" i="173"/>
  <c r="L17" i="173"/>
  <c r="Z17" i="173"/>
  <c r="AB17" i="173"/>
  <c r="X17" i="173"/>
  <c r="T17" i="173"/>
  <c r="AA17" i="173"/>
  <c r="W17" i="173"/>
  <c r="U17" i="173"/>
  <c r="P17" i="173"/>
  <c r="Q17" i="173"/>
  <c r="D18" i="173"/>
  <c r="K17" i="173"/>
  <c r="V17" i="173"/>
  <c r="N17" i="173"/>
  <c r="Y17" i="173"/>
  <c r="R17" i="173"/>
  <c r="I18" i="173"/>
  <c r="G18" i="173"/>
  <c r="F18" i="173"/>
  <c r="H18" i="173"/>
  <c r="AC11" i="140"/>
  <c r="V19" i="100"/>
  <c r="R19" i="100"/>
  <c r="T19" i="100"/>
  <c r="AA19" i="100"/>
  <c r="P19" i="100"/>
  <c r="Q19" i="100"/>
  <c r="M19" i="100"/>
  <c r="W19" i="100"/>
  <c r="L19" i="100"/>
  <c r="O19" i="100"/>
  <c r="S19" i="100"/>
  <c r="K19" i="100"/>
  <c r="Y19" i="100"/>
  <c r="Z19" i="100"/>
  <c r="AB19" i="100"/>
  <c r="N19" i="100"/>
  <c r="U19" i="100"/>
  <c r="X19" i="100"/>
  <c r="J19" i="100"/>
  <c r="B21" i="100"/>
  <c r="A22" i="100"/>
  <c r="C20" i="100"/>
  <c r="G18" i="100"/>
  <c r="H18" i="100"/>
  <c r="I18" i="100"/>
  <c r="F18" i="100"/>
  <c r="A24" i="173"/>
  <c r="E19" i="100"/>
  <c r="D20" i="100"/>
  <c r="AE12" i="140"/>
  <c r="C19" i="172" l="1"/>
  <c r="G19" i="172" s="1"/>
  <c r="H19" i="172" s="1"/>
  <c r="B21" i="173"/>
  <c r="B21" i="172" s="1"/>
  <c r="F21" i="172" s="1"/>
  <c r="E21" i="172" s="1"/>
  <c r="C20" i="173"/>
  <c r="E20" i="173" s="1"/>
  <c r="R18" i="173"/>
  <c r="O18" i="173"/>
  <c r="X18" i="173"/>
  <c r="S18" i="173"/>
  <c r="Z18" i="173"/>
  <c r="Y18" i="173"/>
  <c r="K18" i="173"/>
  <c r="Q18" i="173"/>
  <c r="U18" i="173"/>
  <c r="T18" i="173"/>
  <c r="N18" i="173"/>
  <c r="L18" i="173"/>
  <c r="V18" i="173"/>
  <c r="J18" i="173"/>
  <c r="P18" i="173"/>
  <c r="W18" i="173"/>
  <c r="AB18" i="173"/>
  <c r="M18" i="173"/>
  <c r="AA18" i="173"/>
  <c r="D19" i="173"/>
  <c r="C20" i="172"/>
  <c r="AC12" i="140"/>
  <c r="P20" i="100"/>
  <c r="S20" i="100"/>
  <c r="L20" i="100"/>
  <c r="Y20" i="100"/>
  <c r="W20" i="100"/>
  <c r="R20" i="100"/>
  <c r="AA20" i="100"/>
  <c r="U20" i="100"/>
  <c r="N20" i="100"/>
  <c r="T20" i="100"/>
  <c r="Z20" i="100"/>
  <c r="M20" i="100"/>
  <c r="K20" i="100"/>
  <c r="V20" i="100"/>
  <c r="X20" i="100"/>
  <c r="AB20" i="100"/>
  <c r="O20" i="100"/>
  <c r="Q20" i="100"/>
  <c r="J20" i="100"/>
  <c r="G19" i="100"/>
  <c r="H19" i="100"/>
  <c r="I19" i="100"/>
  <c r="F19" i="100"/>
  <c r="A25" i="173"/>
  <c r="E20" i="100"/>
  <c r="B22" i="100"/>
  <c r="A23" i="100"/>
  <c r="C21" i="100"/>
  <c r="D21" i="100" s="1"/>
  <c r="AE13" i="140"/>
  <c r="D20" i="173" l="1"/>
  <c r="J20" i="173" s="1"/>
  <c r="B22" i="173"/>
  <c r="B22" i="172" s="1"/>
  <c r="F22" i="172" s="1"/>
  <c r="E22" i="172" s="1"/>
  <c r="C21" i="173"/>
  <c r="G20" i="172"/>
  <c r="H20" i="172" s="1"/>
  <c r="S19" i="173"/>
  <c r="O19" i="173"/>
  <c r="Y19" i="173"/>
  <c r="L19" i="173"/>
  <c r="U19" i="173"/>
  <c r="X19" i="173"/>
  <c r="K19" i="173"/>
  <c r="AB19" i="173"/>
  <c r="M19" i="173"/>
  <c r="N19" i="173"/>
  <c r="T19" i="173"/>
  <c r="W19" i="173"/>
  <c r="P19" i="173"/>
  <c r="Z19" i="173"/>
  <c r="V19" i="173"/>
  <c r="J19" i="173"/>
  <c r="R19" i="173"/>
  <c r="AA19" i="173"/>
  <c r="Q19" i="173"/>
  <c r="I20" i="173"/>
  <c r="G20" i="173"/>
  <c r="H20" i="173"/>
  <c r="F20" i="173"/>
  <c r="C21" i="172"/>
  <c r="Q21" i="100"/>
  <c r="V21" i="100"/>
  <c r="T21" i="100"/>
  <c r="L21" i="100"/>
  <c r="W21" i="100"/>
  <c r="X21" i="100"/>
  <c r="R21" i="100"/>
  <c r="AA21" i="100"/>
  <c r="Y21" i="100"/>
  <c r="Z21" i="100"/>
  <c r="N21" i="100"/>
  <c r="M21" i="100"/>
  <c r="O21" i="100"/>
  <c r="K21" i="100"/>
  <c r="U21" i="100"/>
  <c r="AB21" i="100"/>
  <c r="P21" i="100"/>
  <c r="S21" i="100"/>
  <c r="J21" i="100"/>
  <c r="AC13" i="140"/>
  <c r="B23" i="100"/>
  <c r="A24" i="100"/>
  <c r="A26" i="173"/>
  <c r="C22" i="100"/>
  <c r="E21" i="100"/>
  <c r="F20" i="100"/>
  <c r="I20" i="100"/>
  <c r="G20" i="100"/>
  <c r="H20" i="100"/>
  <c r="D22" i="100"/>
  <c r="V20" i="173" l="1"/>
  <c r="L20" i="173"/>
  <c r="T20" i="173"/>
  <c r="U20" i="173"/>
  <c r="W20" i="173"/>
  <c r="Y20" i="173"/>
  <c r="R20" i="173"/>
  <c r="Z20" i="173"/>
  <c r="B23" i="173"/>
  <c r="C23" i="173" s="1"/>
  <c r="E23" i="173" s="1"/>
  <c r="F23" i="173" s="1"/>
  <c r="O20" i="173"/>
  <c r="S20" i="173"/>
  <c r="K20" i="173"/>
  <c r="M20" i="173"/>
  <c r="P20" i="173"/>
  <c r="AB20" i="173"/>
  <c r="Q20" i="173"/>
  <c r="N20" i="173"/>
  <c r="AA20" i="173"/>
  <c r="D21" i="173"/>
  <c r="M21" i="173" s="1"/>
  <c r="X20" i="173"/>
  <c r="C22" i="173"/>
  <c r="E21" i="173"/>
  <c r="F21" i="173" s="1"/>
  <c r="J22" i="100"/>
  <c r="G21" i="172"/>
  <c r="H21" i="172" s="1"/>
  <c r="C22" i="172"/>
  <c r="AA22" i="100"/>
  <c r="O22" i="100"/>
  <c r="P22" i="100"/>
  <c r="U22" i="100"/>
  <c r="Q22" i="100"/>
  <c r="T22" i="100"/>
  <c r="M22" i="100"/>
  <c r="Z22" i="100"/>
  <c r="R22" i="100"/>
  <c r="Y22" i="100"/>
  <c r="N22" i="100"/>
  <c r="S22" i="100"/>
  <c r="AB22" i="100"/>
  <c r="W22" i="100"/>
  <c r="V22" i="100"/>
  <c r="X22" i="100"/>
  <c r="K22" i="100"/>
  <c r="L22" i="100"/>
  <c r="H21" i="100"/>
  <c r="G21" i="100"/>
  <c r="F21" i="100"/>
  <c r="I21" i="100"/>
  <c r="B24" i="100"/>
  <c r="A25" i="100"/>
  <c r="C23" i="100"/>
  <c r="E22" i="100"/>
  <c r="A27" i="173"/>
  <c r="AE14" i="140"/>
  <c r="D23" i="100"/>
  <c r="H21" i="173" l="1"/>
  <c r="D22" i="173"/>
  <c r="M22" i="173" s="1"/>
  <c r="N21" i="173"/>
  <c r="W21" i="173"/>
  <c r="P21" i="173"/>
  <c r="G21" i="173"/>
  <c r="I21" i="173"/>
  <c r="U21" i="173"/>
  <c r="V21" i="173"/>
  <c r="S21" i="173"/>
  <c r="K21" i="173"/>
  <c r="L21" i="173"/>
  <c r="AB21" i="173"/>
  <c r="B24" i="173"/>
  <c r="B24" i="172" s="1"/>
  <c r="F24" i="172" s="1"/>
  <c r="E24" i="172" s="1"/>
  <c r="AA21" i="173"/>
  <c r="Z21" i="173"/>
  <c r="E22" i="173"/>
  <c r="I22" i="173" s="1"/>
  <c r="Y21" i="173"/>
  <c r="O21" i="173"/>
  <c r="Q21" i="173"/>
  <c r="J21" i="173"/>
  <c r="X21" i="173"/>
  <c r="T21" i="173"/>
  <c r="R21" i="173"/>
  <c r="B23" i="172"/>
  <c r="F23" i="172" s="1"/>
  <c r="E23" i="172" s="1"/>
  <c r="AC14" i="140"/>
  <c r="G22" i="172"/>
  <c r="H22" i="172" s="1"/>
  <c r="G23" i="173"/>
  <c r="I23" i="173"/>
  <c r="H23" i="173"/>
  <c r="Y23" i="100"/>
  <c r="U23" i="100"/>
  <c r="X23" i="100"/>
  <c r="Z23" i="100"/>
  <c r="T23" i="100"/>
  <c r="W23" i="100"/>
  <c r="P23" i="100"/>
  <c r="L23" i="100"/>
  <c r="AB23" i="100"/>
  <c r="R23" i="100"/>
  <c r="K23" i="100"/>
  <c r="M23" i="100"/>
  <c r="N23" i="100"/>
  <c r="O23" i="100"/>
  <c r="Q23" i="100"/>
  <c r="S23" i="100"/>
  <c r="V23" i="100"/>
  <c r="AA23" i="100"/>
  <c r="J23" i="100"/>
  <c r="B25" i="100"/>
  <c r="A26" i="100"/>
  <c r="C24" i="100"/>
  <c r="A28" i="173"/>
  <c r="G22" i="100"/>
  <c r="H22" i="100"/>
  <c r="F22" i="100"/>
  <c r="I22" i="100"/>
  <c r="E23" i="100"/>
  <c r="AE15" i="140"/>
  <c r="AE16" i="140"/>
  <c r="D24" i="100"/>
  <c r="H22" i="173" l="1"/>
  <c r="Y22" i="173"/>
  <c r="D23" i="173"/>
  <c r="AB23" i="173" s="1"/>
  <c r="K22" i="173"/>
  <c r="S22" i="173"/>
  <c r="V22" i="173"/>
  <c r="P22" i="173"/>
  <c r="N22" i="173"/>
  <c r="X22" i="173"/>
  <c r="R22" i="173"/>
  <c r="T22" i="173"/>
  <c r="W22" i="173"/>
  <c r="Z22" i="173"/>
  <c r="Q22" i="173"/>
  <c r="AA22" i="173"/>
  <c r="O22" i="173"/>
  <c r="J22" i="173"/>
  <c r="U22" i="173"/>
  <c r="L22" i="173"/>
  <c r="AB22" i="173"/>
  <c r="F22" i="173"/>
  <c r="G22" i="173"/>
  <c r="C23" i="172"/>
  <c r="G23" i="172" s="1"/>
  <c r="H23" i="172" s="1"/>
  <c r="AC15" i="140"/>
  <c r="B25" i="173"/>
  <c r="B25" i="172" s="1"/>
  <c r="F25" i="172" s="1"/>
  <c r="E25" i="172" s="1"/>
  <c r="C24" i="173"/>
  <c r="C24" i="172"/>
  <c r="AC16" i="140"/>
  <c r="T24" i="100"/>
  <c r="Q24" i="100"/>
  <c r="O24" i="100"/>
  <c r="AA24" i="100"/>
  <c r="L24" i="100"/>
  <c r="P24" i="100"/>
  <c r="M24" i="100"/>
  <c r="U24" i="100"/>
  <c r="N24" i="100"/>
  <c r="X24" i="100"/>
  <c r="S24" i="100"/>
  <c r="K24" i="100"/>
  <c r="Y24" i="100"/>
  <c r="W24" i="100"/>
  <c r="AB24" i="100"/>
  <c r="R24" i="100"/>
  <c r="V24" i="100"/>
  <c r="Z24" i="100"/>
  <c r="J24" i="100"/>
  <c r="G23" i="100"/>
  <c r="F23" i="100"/>
  <c r="H23" i="100"/>
  <c r="I23" i="100"/>
  <c r="A29" i="173"/>
  <c r="E24" i="100"/>
  <c r="B26" i="100"/>
  <c r="A27" i="100"/>
  <c r="C25" i="100"/>
  <c r="D25" i="100" s="1"/>
  <c r="N23" i="173" l="1"/>
  <c r="K23" i="173"/>
  <c r="M23" i="173"/>
  <c r="S23" i="173"/>
  <c r="Y23" i="173"/>
  <c r="U23" i="173"/>
  <c r="Z23" i="173"/>
  <c r="L23" i="173"/>
  <c r="W23" i="173"/>
  <c r="P23" i="173"/>
  <c r="R23" i="173"/>
  <c r="D24" i="173"/>
  <c r="M24" i="173" s="1"/>
  <c r="T23" i="173"/>
  <c r="V23" i="173"/>
  <c r="X23" i="173"/>
  <c r="AA23" i="173"/>
  <c r="J23" i="173"/>
  <c r="Q23" i="173"/>
  <c r="O23" i="173"/>
  <c r="E24" i="173"/>
  <c r="H24" i="173" s="1"/>
  <c r="B26" i="173"/>
  <c r="B26" i="172" s="1"/>
  <c r="F26" i="172" s="1"/>
  <c r="E26" i="172" s="1"/>
  <c r="C25" i="173"/>
  <c r="E25" i="173" s="1"/>
  <c r="G24" i="172"/>
  <c r="H24" i="172" s="1"/>
  <c r="C25" i="172"/>
  <c r="AB25" i="100"/>
  <c r="Q25" i="100"/>
  <c r="N25" i="100"/>
  <c r="S25" i="100"/>
  <c r="X25" i="100"/>
  <c r="K25" i="100"/>
  <c r="T25" i="100"/>
  <c r="W25" i="100"/>
  <c r="M25" i="100"/>
  <c r="O25" i="100"/>
  <c r="U25" i="100"/>
  <c r="R25" i="100"/>
  <c r="V25" i="100"/>
  <c r="Y25" i="100"/>
  <c r="P25" i="100"/>
  <c r="Z25" i="100"/>
  <c r="AA25" i="100"/>
  <c r="L25" i="100"/>
  <c r="J25" i="100"/>
  <c r="C26" i="100"/>
  <c r="A30" i="173"/>
  <c r="G24" i="100"/>
  <c r="H24" i="100"/>
  <c r="I24" i="100"/>
  <c r="F24" i="100"/>
  <c r="E25" i="100"/>
  <c r="B27" i="100"/>
  <c r="A28" i="100"/>
  <c r="AE17" i="140"/>
  <c r="D26" i="100"/>
  <c r="AE18" i="140"/>
  <c r="K24" i="173" l="1"/>
  <c r="J24" i="173"/>
  <c r="O24" i="173"/>
  <c r="AA24" i="173"/>
  <c r="Z24" i="173"/>
  <c r="S24" i="173"/>
  <c r="P24" i="173"/>
  <c r="W24" i="173"/>
  <c r="R24" i="173"/>
  <c r="L24" i="173"/>
  <c r="AB24" i="173"/>
  <c r="V24" i="173"/>
  <c r="X24" i="173"/>
  <c r="U24" i="173"/>
  <c r="Q24" i="173"/>
  <c r="T24" i="173"/>
  <c r="Y24" i="173"/>
  <c r="N24" i="173"/>
  <c r="B27" i="173"/>
  <c r="B27" i="172" s="1"/>
  <c r="F27" i="172" s="1"/>
  <c r="E27" i="172" s="1"/>
  <c r="AC17" i="140"/>
  <c r="D25" i="173"/>
  <c r="M25" i="173" s="1"/>
  <c r="F24" i="173"/>
  <c r="I24" i="173"/>
  <c r="C26" i="173"/>
  <c r="G24" i="173"/>
  <c r="G25" i="172"/>
  <c r="H25" i="172" s="1"/>
  <c r="G25" i="173"/>
  <c r="I25" i="173"/>
  <c r="H25" i="173"/>
  <c r="F25" i="173"/>
  <c r="C26" i="172"/>
  <c r="AC18" i="140"/>
  <c r="U26" i="100"/>
  <c r="T26" i="100"/>
  <c r="K26" i="100"/>
  <c r="AB26" i="100"/>
  <c r="N26" i="100"/>
  <c r="R26" i="100"/>
  <c r="S26" i="100"/>
  <c r="M26" i="100"/>
  <c r="Z26" i="100"/>
  <c r="L26" i="100"/>
  <c r="W26" i="100"/>
  <c r="V26" i="100"/>
  <c r="Y26" i="100"/>
  <c r="X26" i="100"/>
  <c r="P26" i="100"/>
  <c r="Q26" i="100"/>
  <c r="O26" i="100"/>
  <c r="AA26" i="100"/>
  <c r="J26" i="100"/>
  <c r="G25" i="100"/>
  <c r="H25" i="100"/>
  <c r="F25" i="100"/>
  <c r="I25" i="100"/>
  <c r="A31" i="173"/>
  <c r="B28" i="100"/>
  <c r="A29" i="100"/>
  <c r="C27" i="100"/>
  <c r="E26" i="100"/>
  <c r="D27" i="100"/>
  <c r="D26" i="173" l="1"/>
  <c r="N26" i="173" s="1"/>
  <c r="P25" i="173"/>
  <c r="Y25" i="173"/>
  <c r="R25" i="173"/>
  <c r="U25" i="173"/>
  <c r="K25" i="173"/>
  <c r="E26" i="173"/>
  <c r="G26" i="173" s="1"/>
  <c r="AA25" i="173"/>
  <c r="B28" i="173"/>
  <c r="B28" i="172" s="1"/>
  <c r="F28" i="172" s="1"/>
  <c r="E28" i="172" s="1"/>
  <c r="X25" i="173"/>
  <c r="J25" i="173"/>
  <c r="Q25" i="173"/>
  <c r="S25" i="173"/>
  <c r="AB25" i="173"/>
  <c r="V25" i="173"/>
  <c r="W25" i="173"/>
  <c r="O25" i="173"/>
  <c r="N25" i="173"/>
  <c r="T25" i="173"/>
  <c r="L25" i="173"/>
  <c r="C27" i="173"/>
  <c r="E27" i="173" s="1"/>
  <c r="Z25" i="173"/>
  <c r="G26" i="172"/>
  <c r="H26" i="172" s="1"/>
  <c r="C27" i="172"/>
  <c r="W27" i="100"/>
  <c r="O27" i="100"/>
  <c r="S27" i="100"/>
  <c r="AB27" i="100"/>
  <c r="Q27" i="100"/>
  <c r="X27" i="100"/>
  <c r="AA27" i="100"/>
  <c r="T27" i="100"/>
  <c r="K27" i="100"/>
  <c r="U27" i="100"/>
  <c r="V27" i="100"/>
  <c r="P27" i="100"/>
  <c r="L27" i="100"/>
  <c r="M27" i="100"/>
  <c r="R27" i="100"/>
  <c r="N27" i="100"/>
  <c r="Z27" i="100"/>
  <c r="Y27" i="100"/>
  <c r="J27" i="100"/>
  <c r="E27" i="100"/>
  <c r="C28" i="100"/>
  <c r="B29" i="100"/>
  <c r="A30" i="100"/>
  <c r="A32" i="173"/>
  <c r="F26" i="100"/>
  <c r="H26" i="100"/>
  <c r="G26" i="100"/>
  <c r="I26" i="100"/>
  <c r="AE19" i="140"/>
  <c r="AE20" i="140"/>
  <c r="D28" i="100"/>
  <c r="K26" i="173" l="1"/>
  <c r="AB26" i="173"/>
  <c r="T26" i="173"/>
  <c r="Y26" i="173"/>
  <c r="O26" i="173"/>
  <c r="U26" i="173"/>
  <c r="Q26" i="173"/>
  <c r="V26" i="173"/>
  <c r="AA26" i="173"/>
  <c r="J26" i="173"/>
  <c r="R26" i="173"/>
  <c r="W26" i="173"/>
  <c r="M26" i="173"/>
  <c r="P26" i="173"/>
  <c r="Z26" i="173"/>
  <c r="L26" i="173"/>
  <c r="S26" i="173"/>
  <c r="X26" i="173"/>
  <c r="I26" i="173"/>
  <c r="F26" i="173"/>
  <c r="H26" i="173"/>
  <c r="AC19" i="140"/>
  <c r="B29" i="173"/>
  <c r="B29" i="172" s="1"/>
  <c r="F29" i="172" s="1"/>
  <c r="E29" i="172" s="1"/>
  <c r="C28" i="173"/>
  <c r="E28" i="173" s="1"/>
  <c r="D27" i="173"/>
  <c r="T27" i="173" s="1"/>
  <c r="G27" i="172"/>
  <c r="H27" i="172" s="1"/>
  <c r="F27" i="173"/>
  <c r="G27" i="173"/>
  <c r="H27" i="173"/>
  <c r="I27" i="173"/>
  <c r="C28" i="172"/>
  <c r="AC20" i="140"/>
  <c r="Q28" i="100"/>
  <c r="N28" i="100"/>
  <c r="M28" i="100"/>
  <c r="R28" i="100"/>
  <c r="T28" i="100"/>
  <c r="U28" i="100"/>
  <c r="W28" i="100"/>
  <c r="P28" i="100"/>
  <c r="AB28" i="100"/>
  <c r="X28" i="100"/>
  <c r="Y28" i="100"/>
  <c r="V28" i="100"/>
  <c r="AA28" i="100"/>
  <c r="O28" i="100"/>
  <c r="K28" i="100"/>
  <c r="Z28" i="100"/>
  <c r="L28" i="100"/>
  <c r="S28" i="100"/>
  <c r="J28" i="100"/>
  <c r="A33" i="173"/>
  <c r="F27" i="100"/>
  <c r="H27" i="100"/>
  <c r="I27" i="100"/>
  <c r="G27" i="100"/>
  <c r="B30" i="100"/>
  <c r="A31" i="100"/>
  <c r="C29" i="100"/>
  <c r="E28" i="100"/>
  <c r="L53" i="130"/>
  <c r="L73" i="130"/>
  <c r="B17" i="130"/>
  <c r="L63" i="130"/>
  <c r="L27" i="130"/>
  <c r="D14" i="172"/>
  <c r="L47" i="130"/>
  <c r="B27" i="130"/>
  <c r="B67" i="130"/>
  <c r="B23" i="130"/>
  <c r="B73" i="130"/>
  <c r="AE21" i="140"/>
  <c r="L17" i="130"/>
  <c r="D13" i="172"/>
  <c r="L83" i="130"/>
  <c r="L13" i="130"/>
  <c r="D18" i="172"/>
  <c r="B57" i="130"/>
  <c r="L43" i="130"/>
  <c r="L37" i="130"/>
  <c r="B7" i="130"/>
  <c r="D20" i="172"/>
  <c r="B13" i="130"/>
  <c r="L23" i="130"/>
  <c r="D19" i="172"/>
  <c r="D16" i="172"/>
  <c r="B43" i="130"/>
  <c r="L57" i="130"/>
  <c r="L33" i="130"/>
  <c r="D15" i="172"/>
  <c r="D10" i="172"/>
  <c r="D11" i="172"/>
  <c r="B33" i="130"/>
  <c r="L67" i="130"/>
  <c r="D29" i="100"/>
  <c r="D12" i="172"/>
  <c r="B47" i="130"/>
  <c r="B83" i="130"/>
  <c r="B53" i="130"/>
  <c r="B63" i="130"/>
  <c r="B77" i="130"/>
  <c r="D17" i="172"/>
  <c r="L7" i="130"/>
  <c r="B37" i="130"/>
  <c r="L77" i="130"/>
  <c r="D28" i="173" l="1"/>
  <c r="S28" i="173" s="1"/>
  <c r="B30" i="173"/>
  <c r="B31" i="173" s="1"/>
  <c r="C29" i="173"/>
  <c r="U27" i="173"/>
  <c r="W27" i="173"/>
  <c r="Q27" i="173"/>
  <c r="M27" i="173"/>
  <c r="J27" i="173"/>
  <c r="K27" i="173"/>
  <c r="X27" i="173"/>
  <c r="S27" i="173"/>
  <c r="R27" i="173"/>
  <c r="O70" i="130"/>
  <c r="O30" i="130"/>
  <c r="O20" i="130"/>
  <c r="O60" i="130"/>
  <c r="O50" i="130"/>
  <c r="O40" i="130"/>
  <c r="O80" i="130"/>
  <c r="O10" i="130"/>
  <c r="AA27" i="173"/>
  <c r="Y27" i="173"/>
  <c r="L27" i="173"/>
  <c r="AB27" i="173"/>
  <c r="P27" i="173"/>
  <c r="Z27" i="173"/>
  <c r="V27" i="173"/>
  <c r="O27" i="173"/>
  <c r="N27" i="173"/>
  <c r="G28" i="172"/>
  <c r="H28" i="172" s="1"/>
  <c r="I28" i="173"/>
  <c r="F28" i="173"/>
  <c r="G28" i="173"/>
  <c r="H28" i="173"/>
  <c r="J28" i="173"/>
  <c r="C29" i="172"/>
  <c r="AC21" i="140"/>
  <c r="L29" i="100"/>
  <c r="O29" i="100"/>
  <c r="R29" i="100"/>
  <c r="V29" i="100"/>
  <c r="W29" i="100"/>
  <c r="X29" i="100"/>
  <c r="K29" i="100"/>
  <c r="P29" i="100"/>
  <c r="Y29" i="100"/>
  <c r="M29" i="100"/>
  <c r="AA29" i="100"/>
  <c r="Z29" i="100"/>
  <c r="U29" i="100"/>
  <c r="Q29" i="100"/>
  <c r="AB29" i="100"/>
  <c r="N29" i="100"/>
  <c r="S29" i="100"/>
  <c r="T29" i="100"/>
  <c r="J29" i="100"/>
  <c r="F28" i="100"/>
  <c r="G28" i="100"/>
  <c r="I28" i="100"/>
  <c r="H28" i="100"/>
  <c r="E29" i="100"/>
  <c r="B31" i="100"/>
  <c r="A32" i="100"/>
  <c r="C30" i="100"/>
  <c r="A34" i="173"/>
  <c r="Z40" i="130"/>
  <c r="Z10" i="130"/>
  <c r="Z80" i="130"/>
  <c r="Z30" i="130"/>
  <c r="D30" i="100"/>
  <c r="BT86" i="130" l="1"/>
  <c r="BT82" i="130"/>
  <c r="BT83" i="130"/>
  <c r="BT87" i="130"/>
  <c r="BT88" i="130"/>
  <c r="BT85" i="130"/>
  <c r="P28" i="173"/>
  <c r="V28" i="173"/>
  <c r="R28" i="173"/>
  <c r="M28" i="173"/>
  <c r="Q28" i="173"/>
  <c r="O28" i="173"/>
  <c r="L28" i="173"/>
  <c r="U28" i="173"/>
  <c r="AB28" i="173"/>
  <c r="AA28" i="173"/>
  <c r="K28" i="173"/>
  <c r="X28" i="173"/>
  <c r="N28" i="173"/>
  <c r="T28" i="173"/>
  <c r="Y28" i="173"/>
  <c r="W28" i="173"/>
  <c r="Z28" i="173"/>
  <c r="D29" i="173"/>
  <c r="P29" i="173" s="1"/>
  <c r="C30" i="173"/>
  <c r="E30" i="173" s="1"/>
  <c r="H30" i="173" s="1"/>
  <c r="B30" i="172"/>
  <c r="F30" i="172" s="1"/>
  <c r="E30" i="172" s="1"/>
  <c r="E29" i="173"/>
  <c r="G29" i="173" s="1"/>
  <c r="BT81" i="130"/>
  <c r="BT84" i="130"/>
  <c r="C31" i="173"/>
  <c r="E31" i="173" s="1"/>
  <c r="B32" i="173"/>
  <c r="B31" i="172"/>
  <c r="F31" i="172" s="1"/>
  <c r="E31" i="172" s="1"/>
  <c r="G29" i="172"/>
  <c r="H29" i="172" s="1"/>
  <c r="U30" i="100"/>
  <c r="Y30" i="100"/>
  <c r="T30" i="100"/>
  <c r="P30" i="100"/>
  <c r="S30" i="100"/>
  <c r="N30" i="100"/>
  <c r="O30" i="100"/>
  <c r="L30" i="100"/>
  <c r="W30" i="100"/>
  <c r="M30" i="100"/>
  <c r="R30" i="100"/>
  <c r="AB30" i="100"/>
  <c r="Q30" i="100"/>
  <c r="Z30" i="100"/>
  <c r="X30" i="100"/>
  <c r="AA30" i="100"/>
  <c r="V30" i="100"/>
  <c r="K30" i="100"/>
  <c r="J30" i="100"/>
  <c r="E30" i="100"/>
  <c r="A35" i="173"/>
  <c r="B32" i="100"/>
  <c r="A33" i="100"/>
  <c r="C31" i="100"/>
  <c r="G29" i="100"/>
  <c r="F29" i="100"/>
  <c r="I29" i="100"/>
  <c r="H29" i="100"/>
  <c r="P60" i="130"/>
  <c r="AE23" i="140"/>
  <c r="P50" i="130"/>
  <c r="Z60" i="130"/>
  <c r="P10" i="130"/>
  <c r="AE22" i="140"/>
  <c r="P70" i="130"/>
  <c r="P20" i="130"/>
  <c r="Z50" i="130"/>
  <c r="P80" i="130"/>
  <c r="Z20" i="130"/>
  <c r="P40" i="130"/>
  <c r="Z70" i="130"/>
  <c r="P30" i="130"/>
  <c r="D31" i="100"/>
  <c r="AC35" i="130" l="1"/>
  <c r="AC75" i="130"/>
  <c r="AC15" i="130"/>
  <c r="AC55" i="130"/>
  <c r="M29" i="173"/>
  <c r="R29" i="173"/>
  <c r="Q29" i="173"/>
  <c r="AA29" i="173"/>
  <c r="Z29" i="173"/>
  <c r="X29" i="173"/>
  <c r="W29" i="173"/>
  <c r="Y29" i="173"/>
  <c r="S29" i="173"/>
  <c r="BO81" i="130"/>
  <c r="BP81" i="130" s="1"/>
  <c r="J29" i="173"/>
  <c r="V29" i="173"/>
  <c r="N29" i="173"/>
  <c r="L29" i="173"/>
  <c r="U29" i="173"/>
  <c r="K29" i="173"/>
  <c r="T29" i="173"/>
  <c r="AB29" i="173"/>
  <c r="O29" i="173"/>
  <c r="C30" i="172"/>
  <c r="G30" i="172" s="1"/>
  <c r="H30" i="172" s="1"/>
  <c r="BO85" i="130"/>
  <c r="BP85" i="130" s="1"/>
  <c r="F29" i="173"/>
  <c r="I29" i="173"/>
  <c r="BO86" i="130"/>
  <c r="BP86" i="130" s="1"/>
  <c r="BO83" i="130"/>
  <c r="BP83" i="130" s="1"/>
  <c r="I30" i="173"/>
  <c r="F30" i="173"/>
  <c r="D30" i="173"/>
  <c r="D31" i="173" s="1"/>
  <c r="G30" i="173"/>
  <c r="H29" i="173"/>
  <c r="AC22" i="140"/>
  <c r="BO87" i="130"/>
  <c r="BP87" i="130" s="1"/>
  <c r="BO88" i="130"/>
  <c r="BP88" i="130" s="1"/>
  <c r="BO84" i="130"/>
  <c r="BP84" i="130" s="1"/>
  <c r="BO82" i="130"/>
  <c r="BP82" i="130" s="1"/>
  <c r="C32" i="173"/>
  <c r="E32" i="173" s="1"/>
  <c r="I32" i="173" s="1"/>
  <c r="B33" i="173"/>
  <c r="I31" i="173"/>
  <c r="F31" i="173"/>
  <c r="H31" i="173"/>
  <c r="B32" i="172"/>
  <c r="F32" i="172" s="1"/>
  <c r="E32" i="172" s="1"/>
  <c r="G31" i="173"/>
  <c r="C31" i="172"/>
  <c r="R31" i="100"/>
  <c r="W31" i="100"/>
  <c r="N31" i="100"/>
  <c r="X31" i="100"/>
  <c r="Z31" i="100"/>
  <c r="O31" i="100"/>
  <c r="M31" i="100"/>
  <c r="K31" i="100"/>
  <c r="T31" i="100"/>
  <c r="L31" i="100"/>
  <c r="U31" i="100"/>
  <c r="Q31" i="100"/>
  <c r="AB31" i="100"/>
  <c r="S31" i="100"/>
  <c r="Y31" i="100"/>
  <c r="P31" i="100"/>
  <c r="V31" i="100"/>
  <c r="AA31" i="100"/>
  <c r="J31" i="100"/>
  <c r="AC23" i="140"/>
  <c r="B33" i="100"/>
  <c r="A34" i="100"/>
  <c r="C32" i="100"/>
  <c r="E31" i="100"/>
  <c r="A36" i="173"/>
  <c r="I30" i="100"/>
  <c r="G30" i="100"/>
  <c r="F30" i="100"/>
  <c r="H30" i="100"/>
  <c r="D21" i="172"/>
  <c r="AE24" i="140"/>
  <c r="D32" i="100"/>
  <c r="AN35" i="130"/>
  <c r="AN75" i="130"/>
  <c r="AN15" i="130"/>
  <c r="AN55" i="130"/>
  <c r="AQ20" i="130" l="1"/>
  <c r="AQ60" i="130"/>
  <c r="AQ70" i="130"/>
  <c r="BE65" i="130" s="1"/>
  <c r="AQ30" i="130"/>
  <c r="BE25" i="130" s="1"/>
  <c r="BT78" i="130"/>
  <c r="BT77" i="130"/>
  <c r="BT79" i="130"/>
  <c r="BT80" i="130"/>
  <c r="K30" i="173"/>
  <c r="S30" i="173"/>
  <c r="V30" i="173"/>
  <c r="P30" i="173"/>
  <c r="Q30" i="173"/>
  <c r="M30" i="173"/>
  <c r="R30" i="173"/>
  <c r="X30" i="173"/>
  <c r="AB30" i="173"/>
  <c r="N30" i="173"/>
  <c r="J30" i="173"/>
  <c r="L30" i="173"/>
  <c r="W30" i="173"/>
  <c r="Y30" i="173"/>
  <c r="U30" i="173"/>
  <c r="O30" i="173"/>
  <c r="T30" i="173"/>
  <c r="Z30" i="173"/>
  <c r="AA30" i="173"/>
  <c r="F32" i="173"/>
  <c r="H32" i="173"/>
  <c r="C33" i="173"/>
  <c r="E33" i="173" s="1"/>
  <c r="B34" i="173"/>
  <c r="G32" i="173"/>
  <c r="B33" i="172"/>
  <c r="F33" i="172" s="1"/>
  <c r="E33" i="172" s="1"/>
  <c r="Z31" i="173"/>
  <c r="N31" i="173"/>
  <c r="O31" i="173"/>
  <c r="T31" i="173"/>
  <c r="W31" i="173"/>
  <c r="Q31" i="173"/>
  <c r="L31" i="173"/>
  <c r="R31" i="173"/>
  <c r="X31" i="173"/>
  <c r="K31" i="173"/>
  <c r="J31" i="173"/>
  <c r="D32" i="173"/>
  <c r="AA31" i="173"/>
  <c r="M31" i="173"/>
  <c r="V31" i="173"/>
  <c r="Y31" i="173"/>
  <c r="U31" i="173"/>
  <c r="AB31" i="173"/>
  <c r="P31" i="173"/>
  <c r="S31" i="173"/>
  <c r="G31" i="172"/>
  <c r="H31" i="172" s="1"/>
  <c r="C32" i="172"/>
  <c r="AC24" i="140"/>
  <c r="X32" i="100"/>
  <c r="Y32" i="100"/>
  <c r="S32" i="100"/>
  <c r="M32" i="100"/>
  <c r="L32" i="100"/>
  <c r="Q32" i="100"/>
  <c r="U32" i="100"/>
  <c r="P32" i="100"/>
  <c r="N32" i="100"/>
  <c r="AB32" i="100"/>
  <c r="T32" i="100"/>
  <c r="O32" i="100"/>
  <c r="K32" i="100"/>
  <c r="AA32" i="100"/>
  <c r="W32" i="100"/>
  <c r="V32" i="100"/>
  <c r="Z32" i="100"/>
  <c r="R32" i="100"/>
  <c r="J32" i="100"/>
  <c r="A37" i="173"/>
  <c r="F31" i="100"/>
  <c r="G31" i="100"/>
  <c r="I31" i="100"/>
  <c r="H31" i="100"/>
  <c r="E32" i="100"/>
  <c r="B34" i="100"/>
  <c r="A35" i="100"/>
  <c r="C33" i="100"/>
  <c r="D22" i="172"/>
  <c r="BB30" i="130"/>
  <c r="AD15" i="130"/>
  <c r="AD35" i="130"/>
  <c r="D23" i="172"/>
  <c r="BK25" i="130"/>
  <c r="AD75" i="130"/>
  <c r="AD55" i="130"/>
  <c r="BB20" i="130"/>
  <c r="AE25" i="140"/>
  <c r="BB60" i="130"/>
  <c r="BK65" i="130"/>
  <c r="BK42" i="130" l="1"/>
  <c r="BK44" i="130"/>
  <c r="BO73" i="130"/>
  <c r="BK46" i="130"/>
  <c r="BK48" i="130"/>
  <c r="BO75" i="130"/>
  <c r="BO74" i="130"/>
  <c r="BO76" i="130"/>
  <c r="BO80" i="130"/>
  <c r="BQ80" i="130" s="1"/>
  <c r="BO78" i="130"/>
  <c r="BQ78" i="130" s="1"/>
  <c r="BO77" i="130"/>
  <c r="BP77" i="130" s="1"/>
  <c r="BO79" i="130"/>
  <c r="BQ79" i="130" s="1"/>
  <c r="D33" i="173"/>
  <c r="M33" i="173" s="1"/>
  <c r="C34" i="173"/>
  <c r="E34" i="173" s="1"/>
  <c r="F34" i="173" s="1"/>
  <c r="B35" i="173"/>
  <c r="C35" i="173" s="1"/>
  <c r="B34" i="172"/>
  <c r="F34" i="172" s="1"/>
  <c r="E34" i="172" s="1"/>
  <c r="G33" i="173"/>
  <c r="F33" i="173"/>
  <c r="I33" i="173"/>
  <c r="H33" i="173"/>
  <c r="S32" i="173"/>
  <c r="O32" i="173"/>
  <c r="J32" i="173"/>
  <c r="W32" i="173"/>
  <c r="K32" i="173"/>
  <c r="Q32" i="173"/>
  <c r="N32" i="173"/>
  <c r="AA32" i="173"/>
  <c r="V32" i="173"/>
  <c r="U32" i="173"/>
  <c r="AB32" i="173"/>
  <c r="Z32" i="173"/>
  <c r="X32" i="173"/>
  <c r="P32" i="173"/>
  <c r="R32" i="173"/>
  <c r="L32" i="173"/>
  <c r="M32" i="173"/>
  <c r="T32" i="173"/>
  <c r="Y32" i="173"/>
  <c r="G32" i="172"/>
  <c r="H32" i="172" s="1"/>
  <c r="C33" i="172"/>
  <c r="AC25" i="140"/>
  <c r="B35" i="100"/>
  <c r="A36" i="100"/>
  <c r="G32" i="100"/>
  <c r="I32" i="100"/>
  <c r="F32" i="100"/>
  <c r="H32" i="100"/>
  <c r="C34" i="100"/>
  <c r="A38" i="173"/>
  <c r="E33" i="100"/>
  <c r="BB70" i="130"/>
  <c r="AR30" i="130"/>
  <c r="AR70" i="130"/>
  <c r="AE26" i="140"/>
  <c r="D33" i="100"/>
  <c r="BF25" i="130"/>
  <c r="BF65" i="130"/>
  <c r="AR60" i="130"/>
  <c r="AR20" i="130"/>
  <c r="BF44" i="130" l="1"/>
  <c r="BF42" i="130"/>
  <c r="BP73" i="130"/>
  <c r="BQ73" i="130"/>
  <c r="BR73" i="130"/>
  <c r="BF48" i="130"/>
  <c r="BF46" i="130"/>
  <c r="BR75" i="130"/>
  <c r="BQ75" i="130"/>
  <c r="BP75" i="130"/>
  <c r="BR76" i="130"/>
  <c r="BQ76" i="130"/>
  <c r="BP76" i="130"/>
  <c r="BQ74" i="130"/>
  <c r="BP74" i="130"/>
  <c r="BR74" i="130"/>
  <c r="BP80" i="130"/>
  <c r="BP79" i="130"/>
  <c r="BP78" i="130"/>
  <c r="BQ77" i="130"/>
  <c r="R33" i="173"/>
  <c r="AA33" i="173"/>
  <c r="H34" i="173"/>
  <c r="L33" i="173"/>
  <c r="S33" i="173"/>
  <c r="W33" i="173"/>
  <c r="K33" i="173"/>
  <c r="U33" i="173"/>
  <c r="Q33" i="173"/>
  <c r="O33" i="173"/>
  <c r="N33" i="173"/>
  <c r="I34" i="173"/>
  <c r="Y33" i="173"/>
  <c r="X33" i="173"/>
  <c r="B36" i="173"/>
  <c r="T33" i="173"/>
  <c r="AB33" i="173"/>
  <c r="P33" i="173"/>
  <c r="V33" i="173"/>
  <c r="Z33" i="173"/>
  <c r="J33" i="173"/>
  <c r="G34" i="173"/>
  <c r="D34" i="173"/>
  <c r="Z34" i="173" s="1"/>
  <c r="E35" i="173"/>
  <c r="I35" i="173" s="1"/>
  <c r="B35" i="172"/>
  <c r="F35" i="172" s="1"/>
  <c r="E35" i="172" s="1"/>
  <c r="J33" i="100"/>
  <c r="G33" i="172"/>
  <c r="H33" i="172" s="1"/>
  <c r="C34" i="172"/>
  <c r="AC26" i="140"/>
  <c r="E34" i="100"/>
  <c r="B36" i="100"/>
  <c r="A37" i="100"/>
  <c r="I33" i="100"/>
  <c r="G33" i="100"/>
  <c r="F33" i="100"/>
  <c r="H33" i="100"/>
  <c r="A39" i="173"/>
  <c r="C35" i="100"/>
  <c r="V33" i="100"/>
  <c r="Q33" i="100"/>
  <c r="U33" i="100"/>
  <c r="S33" i="100"/>
  <c r="Z33" i="100"/>
  <c r="P33" i="100"/>
  <c r="T33" i="100"/>
  <c r="O33" i="100"/>
  <c r="R33" i="100"/>
  <c r="W33" i="100"/>
  <c r="L33" i="100"/>
  <c r="AA33" i="100"/>
  <c r="X33" i="100"/>
  <c r="N33" i="100"/>
  <c r="K33" i="100"/>
  <c r="AB33" i="100"/>
  <c r="Y33" i="100"/>
  <c r="M33" i="100"/>
  <c r="AE27" i="140"/>
  <c r="D34" i="100"/>
  <c r="D24" i="172"/>
  <c r="H35" i="173" l="1"/>
  <c r="B36" i="172"/>
  <c r="F36" i="172" s="1"/>
  <c r="E36" i="172" s="1"/>
  <c r="B37" i="173"/>
  <c r="B37" i="172" s="1"/>
  <c r="F37" i="172" s="1"/>
  <c r="E37" i="172" s="1"/>
  <c r="C36" i="173"/>
  <c r="AA34" i="173"/>
  <c r="V34" i="173"/>
  <c r="P34" i="173"/>
  <c r="O34" i="173"/>
  <c r="K34" i="173"/>
  <c r="J34" i="173"/>
  <c r="F35" i="173"/>
  <c r="M34" i="173"/>
  <c r="G35" i="173"/>
  <c r="Q34" i="173"/>
  <c r="L34" i="173"/>
  <c r="X34" i="173"/>
  <c r="N34" i="173"/>
  <c r="T34" i="173"/>
  <c r="R34" i="173"/>
  <c r="D35" i="173"/>
  <c r="Y35" i="173" s="1"/>
  <c r="U34" i="173"/>
  <c r="Y34" i="173"/>
  <c r="W34" i="173"/>
  <c r="AB34" i="173"/>
  <c r="S34" i="173"/>
  <c r="G34" i="172"/>
  <c r="H34" i="172" s="1"/>
  <c r="J34" i="100"/>
  <c r="C35" i="172"/>
  <c r="AC27" i="140"/>
  <c r="B37" i="100"/>
  <c r="A38" i="100"/>
  <c r="C36" i="100"/>
  <c r="A40" i="173"/>
  <c r="I34" i="100"/>
  <c r="H34" i="100"/>
  <c r="G34" i="100"/>
  <c r="F34" i="100"/>
  <c r="S34" i="100"/>
  <c r="N34" i="100"/>
  <c r="O34" i="100"/>
  <c r="Z34" i="100"/>
  <c r="P34" i="100"/>
  <c r="X34" i="100"/>
  <c r="AB34" i="100"/>
  <c r="T34" i="100"/>
  <c r="W34" i="100"/>
  <c r="Y34" i="100"/>
  <c r="U34" i="100"/>
  <c r="V34" i="100"/>
  <c r="L34" i="100"/>
  <c r="K34" i="100"/>
  <c r="Q34" i="100"/>
  <c r="R34" i="100"/>
  <c r="M34" i="100"/>
  <c r="AA34" i="100"/>
  <c r="E35" i="100"/>
  <c r="BN74" i="130"/>
  <c r="BN79" i="130"/>
  <c r="BN86" i="130"/>
  <c r="AE28" i="140"/>
  <c r="BN85" i="130"/>
  <c r="BN77" i="130"/>
  <c r="BN78" i="130"/>
  <c r="BN84" i="130"/>
  <c r="BN75" i="130"/>
  <c r="D35" i="100"/>
  <c r="BN76" i="130"/>
  <c r="BN81" i="130"/>
  <c r="BN73" i="130"/>
  <c r="BN80" i="130"/>
  <c r="BN88" i="130"/>
  <c r="BN83" i="130"/>
  <c r="BN87" i="130"/>
  <c r="J24" i="172" s="1"/>
  <c r="BN82" i="130"/>
  <c r="D25" i="172"/>
  <c r="L24" i="172" l="1"/>
  <c r="N24" i="172"/>
  <c r="K24" i="172"/>
  <c r="M24" i="172"/>
  <c r="O24" i="172"/>
  <c r="C37" i="173"/>
  <c r="E37" i="173" s="1"/>
  <c r="B38" i="173"/>
  <c r="U35" i="173"/>
  <c r="Q35" i="173"/>
  <c r="E36" i="173"/>
  <c r="D36" i="173"/>
  <c r="J35" i="173"/>
  <c r="Z35" i="173"/>
  <c r="N35" i="173"/>
  <c r="V35" i="173"/>
  <c r="S35" i="173"/>
  <c r="T35" i="173"/>
  <c r="M35" i="173"/>
  <c r="W35" i="173"/>
  <c r="P35" i="173"/>
  <c r="AA35" i="173"/>
  <c r="R35" i="173"/>
  <c r="L35" i="173"/>
  <c r="O35" i="173"/>
  <c r="K35" i="173"/>
  <c r="X35" i="173"/>
  <c r="AB35" i="173"/>
  <c r="G35" i="172"/>
  <c r="H35" i="172" s="1"/>
  <c r="C36" i="172"/>
  <c r="AC28" i="140"/>
  <c r="F35" i="100"/>
  <c r="G35" i="100"/>
  <c r="I35" i="100"/>
  <c r="H35" i="100"/>
  <c r="E36" i="100"/>
  <c r="B38" i="100"/>
  <c r="A39" i="100"/>
  <c r="C37" i="100"/>
  <c r="A41" i="173"/>
  <c r="T35" i="100"/>
  <c r="N35" i="100"/>
  <c r="Y35" i="100"/>
  <c r="Z35" i="100"/>
  <c r="M35" i="100"/>
  <c r="L35" i="100"/>
  <c r="O35" i="100"/>
  <c r="U35" i="100"/>
  <c r="X35" i="100"/>
  <c r="Q35" i="100"/>
  <c r="V35" i="100"/>
  <c r="AA35" i="100"/>
  <c r="K35" i="100"/>
  <c r="P35" i="100"/>
  <c r="R35" i="100"/>
  <c r="AB35" i="100"/>
  <c r="W35" i="100"/>
  <c r="S35" i="100"/>
  <c r="J35" i="100"/>
  <c r="D36" i="100"/>
  <c r="J19" i="172"/>
  <c r="J15" i="172"/>
  <c r="R24" i="172"/>
  <c r="J20" i="172"/>
  <c r="J14" i="172"/>
  <c r="J17" i="172"/>
  <c r="J22" i="172"/>
  <c r="J25" i="172"/>
  <c r="J10" i="172"/>
  <c r="J23" i="172"/>
  <c r="J18" i="172"/>
  <c r="J16" i="172"/>
  <c r="AE29" i="140"/>
  <c r="I24" i="172"/>
  <c r="Q24" i="172"/>
  <c r="J13" i="172"/>
  <c r="J11" i="172"/>
  <c r="D26" i="172"/>
  <c r="J12" i="172"/>
  <c r="T24" i="172"/>
  <c r="J21" i="172"/>
  <c r="S24" i="172"/>
  <c r="M21" i="172" l="1"/>
  <c r="L21" i="172"/>
  <c r="N21" i="172"/>
  <c r="O21" i="172"/>
  <c r="K21" i="172"/>
  <c r="L12" i="172"/>
  <c r="O12" i="172"/>
  <c r="K12" i="172"/>
  <c r="N12" i="172"/>
  <c r="M12" i="172"/>
  <c r="L11" i="172"/>
  <c r="O11" i="172"/>
  <c r="N11" i="172"/>
  <c r="K11" i="172"/>
  <c r="M11" i="172"/>
  <c r="N13" i="172"/>
  <c r="M13" i="172"/>
  <c r="K13" i="172"/>
  <c r="L13" i="172"/>
  <c r="O13" i="172"/>
  <c r="N16" i="172"/>
  <c r="K16" i="172"/>
  <c r="M16" i="172"/>
  <c r="O16" i="172"/>
  <c r="L16" i="172"/>
  <c r="L18" i="172"/>
  <c r="K18" i="172"/>
  <c r="M18" i="172"/>
  <c r="O18" i="172"/>
  <c r="N18" i="172"/>
  <c r="K23" i="172"/>
  <c r="L23" i="172"/>
  <c r="N23" i="172"/>
  <c r="O23" i="172"/>
  <c r="M23" i="172"/>
  <c r="M10" i="172"/>
  <c r="K10" i="172"/>
  <c r="O10" i="172"/>
  <c r="N10" i="172"/>
  <c r="L10" i="172"/>
  <c r="K22" i="172"/>
  <c r="N22" i="172"/>
  <c r="O22" i="172"/>
  <c r="L22" i="172"/>
  <c r="M22" i="172"/>
  <c r="K17" i="172"/>
  <c r="N17" i="172"/>
  <c r="M17" i="172"/>
  <c r="L17" i="172"/>
  <c r="O17" i="172"/>
  <c r="L14" i="172"/>
  <c r="O14" i="172"/>
  <c r="K14" i="172"/>
  <c r="M14" i="172"/>
  <c r="N14" i="172"/>
  <c r="M20" i="172"/>
  <c r="L20" i="172"/>
  <c r="N20" i="172"/>
  <c r="K20" i="172"/>
  <c r="O20" i="172"/>
  <c r="L15" i="172"/>
  <c r="N15" i="172"/>
  <c r="O15" i="172"/>
  <c r="M15" i="172"/>
  <c r="K15" i="172"/>
  <c r="N19" i="172"/>
  <c r="O19" i="172"/>
  <c r="M19" i="172"/>
  <c r="L19" i="172"/>
  <c r="K19" i="172"/>
  <c r="J26" i="172"/>
  <c r="N26" i="172" s="1"/>
  <c r="P24" i="172"/>
  <c r="L25" i="172"/>
  <c r="N25" i="172"/>
  <c r="K25" i="172"/>
  <c r="M25" i="172"/>
  <c r="O25" i="172"/>
  <c r="C38" i="173"/>
  <c r="E38" i="173" s="1"/>
  <c r="B39" i="173"/>
  <c r="F37" i="173"/>
  <c r="G37" i="173"/>
  <c r="H37" i="173"/>
  <c r="I37" i="173"/>
  <c r="D37" i="173"/>
  <c r="L37" i="173" s="1"/>
  <c r="B38" i="172"/>
  <c r="F38" i="172" s="1"/>
  <c r="E38" i="172" s="1"/>
  <c r="Q36" i="173"/>
  <c r="W36" i="173"/>
  <c r="N36" i="173"/>
  <c r="S36" i="173"/>
  <c r="M36" i="173"/>
  <c r="J36" i="173"/>
  <c r="L36" i="173"/>
  <c r="Y36" i="173"/>
  <c r="AB36" i="173"/>
  <c r="K36" i="173"/>
  <c r="O36" i="173"/>
  <c r="X36" i="173"/>
  <c r="V36" i="173"/>
  <c r="R36" i="173"/>
  <c r="T36" i="173"/>
  <c r="AA36" i="173"/>
  <c r="P36" i="173"/>
  <c r="U36" i="173"/>
  <c r="Z36" i="173"/>
  <c r="I36" i="173"/>
  <c r="G36" i="173"/>
  <c r="H36" i="173"/>
  <c r="F36" i="173"/>
  <c r="G36" i="172"/>
  <c r="H36" i="172" s="1"/>
  <c r="C37" i="172"/>
  <c r="AC29" i="140"/>
  <c r="F36" i="100"/>
  <c r="G36" i="100"/>
  <c r="I36" i="100"/>
  <c r="H36" i="100"/>
  <c r="A42" i="173"/>
  <c r="K36" i="100"/>
  <c r="N36" i="100"/>
  <c r="X36" i="100"/>
  <c r="Z36" i="100"/>
  <c r="M36" i="100"/>
  <c r="AA36" i="100"/>
  <c r="O36" i="100"/>
  <c r="U36" i="100"/>
  <c r="W36" i="100"/>
  <c r="Y36" i="100"/>
  <c r="P36" i="100"/>
  <c r="S36" i="100"/>
  <c r="R36" i="100"/>
  <c r="AB36" i="100"/>
  <c r="T36" i="100"/>
  <c r="V36" i="100"/>
  <c r="Q36" i="100"/>
  <c r="L36" i="100"/>
  <c r="J36" i="100"/>
  <c r="E37" i="100"/>
  <c r="B39" i="100"/>
  <c r="A40" i="100"/>
  <c r="C38" i="100"/>
  <c r="I21" i="172"/>
  <c r="T12" i="172"/>
  <c r="R11" i="172"/>
  <c r="I16" i="172"/>
  <c r="S16" i="172"/>
  <c r="S10" i="172"/>
  <c r="I22" i="172"/>
  <c r="S22" i="172"/>
  <c r="I15" i="172"/>
  <c r="I26" i="172"/>
  <c r="S21" i="172"/>
  <c r="Q18" i="172"/>
  <c r="T22" i="172"/>
  <c r="Q17" i="172"/>
  <c r="S14" i="172"/>
  <c r="R15" i="172"/>
  <c r="I12" i="172"/>
  <c r="S12" i="172"/>
  <c r="T11" i="172"/>
  <c r="R13" i="172"/>
  <c r="Q16" i="172"/>
  <c r="I18" i="172"/>
  <c r="R18" i="172"/>
  <c r="S23" i="172"/>
  <c r="Q22" i="172"/>
  <c r="I17" i="172"/>
  <c r="Q14" i="172"/>
  <c r="S15" i="172"/>
  <c r="I19" i="172"/>
  <c r="S25" i="172"/>
  <c r="T25" i="172"/>
  <c r="I25" i="172"/>
  <c r="Q25" i="172"/>
  <c r="Q21" i="172"/>
  <c r="S13" i="172"/>
  <c r="T18" i="172"/>
  <c r="T23" i="172"/>
  <c r="T17" i="172"/>
  <c r="R14" i="172"/>
  <c r="Q20" i="172"/>
  <c r="Q19" i="172"/>
  <c r="T19" i="172"/>
  <c r="T21" i="172"/>
  <c r="I11" i="172"/>
  <c r="S18" i="172"/>
  <c r="I23" i="172"/>
  <c r="R23" i="172"/>
  <c r="Q10" i="172"/>
  <c r="I14" i="172"/>
  <c r="T14" i="172"/>
  <c r="R20" i="172"/>
  <c r="R25" i="172"/>
  <c r="AE30" i="140"/>
  <c r="D27" i="172"/>
  <c r="D37" i="100"/>
  <c r="R12" i="172"/>
  <c r="T13" i="172"/>
  <c r="R16" i="172"/>
  <c r="R19" i="172"/>
  <c r="Q11" i="172"/>
  <c r="I13" i="172"/>
  <c r="T16" i="172"/>
  <c r="Q23" i="172"/>
  <c r="I10" i="172"/>
  <c r="T10" i="172"/>
  <c r="R17" i="172"/>
  <c r="I20" i="172"/>
  <c r="S20" i="172"/>
  <c r="Q15" i="172"/>
  <c r="S19" i="172"/>
  <c r="R21" i="172"/>
  <c r="Q12" i="172"/>
  <c r="S11" i="172"/>
  <c r="Q13" i="172"/>
  <c r="R10" i="172"/>
  <c r="R22" i="172"/>
  <c r="S17" i="172"/>
  <c r="T20" i="172"/>
  <c r="T15" i="172"/>
  <c r="P20" i="172" l="1"/>
  <c r="P10" i="172"/>
  <c r="P13" i="172"/>
  <c r="P14" i="172"/>
  <c r="P23" i="172"/>
  <c r="P11" i="172"/>
  <c r="P19" i="172"/>
  <c r="P17" i="172"/>
  <c r="P18" i="172"/>
  <c r="P12" i="172"/>
  <c r="P15" i="172"/>
  <c r="P22" i="172"/>
  <c r="P16" i="172"/>
  <c r="P21" i="172"/>
  <c r="O26" i="172"/>
  <c r="L26" i="172"/>
  <c r="M26" i="172"/>
  <c r="S26" i="172"/>
  <c r="Q26" i="172"/>
  <c r="T26" i="172"/>
  <c r="R26" i="172"/>
  <c r="K26" i="172"/>
  <c r="J27" i="172"/>
  <c r="O27" i="172" s="1"/>
  <c r="P25" i="172"/>
  <c r="P26" i="172"/>
  <c r="C39" i="173"/>
  <c r="E39" i="173" s="1"/>
  <c r="G39" i="173" s="1"/>
  <c r="B40" i="173"/>
  <c r="B40" i="172" s="1"/>
  <c r="F40" i="172" s="1"/>
  <c r="E40" i="172" s="1"/>
  <c r="F38" i="173"/>
  <c r="H38" i="173"/>
  <c r="I38" i="173"/>
  <c r="G38" i="173"/>
  <c r="B39" i="172"/>
  <c r="F39" i="172" s="1"/>
  <c r="E39" i="172" s="1"/>
  <c r="T37" i="173"/>
  <c r="U37" i="173"/>
  <c r="R37" i="173"/>
  <c r="Q37" i="173"/>
  <c r="K37" i="173"/>
  <c r="Z37" i="173"/>
  <c r="W37" i="173"/>
  <c r="P37" i="173"/>
  <c r="AA37" i="173"/>
  <c r="S37" i="173"/>
  <c r="X37" i="173"/>
  <c r="M37" i="173"/>
  <c r="AB37" i="173"/>
  <c r="Y37" i="173"/>
  <c r="N37" i="173"/>
  <c r="D38" i="173"/>
  <c r="V37" i="173"/>
  <c r="J37" i="173"/>
  <c r="O37" i="173"/>
  <c r="G37" i="172"/>
  <c r="H37" i="172" s="1"/>
  <c r="C38" i="172"/>
  <c r="AC30" i="140"/>
  <c r="B40" i="100"/>
  <c r="A41" i="100"/>
  <c r="C39" i="100"/>
  <c r="H37" i="100"/>
  <c r="G37" i="100"/>
  <c r="F37" i="100"/>
  <c r="I37" i="100"/>
  <c r="L37" i="100"/>
  <c r="AA37" i="100"/>
  <c r="R37" i="100"/>
  <c r="AB37" i="100"/>
  <c r="M37" i="100"/>
  <c r="T37" i="100"/>
  <c r="V37" i="100"/>
  <c r="Y37" i="100"/>
  <c r="K37" i="100"/>
  <c r="S37" i="100"/>
  <c r="X37" i="100"/>
  <c r="W37" i="100"/>
  <c r="N37" i="100"/>
  <c r="U37" i="100"/>
  <c r="Z37" i="100"/>
  <c r="O37" i="100"/>
  <c r="P37" i="100"/>
  <c r="Q37" i="100"/>
  <c r="J37" i="100"/>
  <c r="E38" i="100"/>
  <c r="A43" i="173"/>
  <c r="D28" i="172"/>
  <c r="J28" i="172"/>
  <c r="AE31" i="140"/>
  <c r="D38" i="100"/>
  <c r="F39" i="173" l="1"/>
  <c r="H39" i="173"/>
  <c r="I39" i="173"/>
  <c r="S27" i="172"/>
  <c r="N27" i="172"/>
  <c r="R27" i="172"/>
  <c r="Q27" i="172"/>
  <c r="M27" i="172"/>
  <c r="T27" i="172"/>
  <c r="K27" i="172"/>
  <c r="L27" i="172"/>
  <c r="D39" i="173"/>
  <c r="Y39" i="173" s="1"/>
  <c r="C40" i="173"/>
  <c r="E40" i="173" s="1"/>
  <c r="I40" i="173" s="1"/>
  <c r="B41" i="173"/>
  <c r="B41" i="172" s="1"/>
  <c r="F41" i="172" s="1"/>
  <c r="E41" i="172" s="1"/>
  <c r="T28" i="172"/>
  <c r="Q28" i="172"/>
  <c r="S28" i="172"/>
  <c r="R28" i="172"/>
  <c r="M28" i="172"/>
  <c r="L28" i="172"/>
  <c r="K28" i="172"/>
  <c r="O28" i="172"/>
  <c r="N28" i="172"/>
  <c r="W38" i="173"/>
  <c r="N38" i="173"/>
  <c r="Q38" i="173"/>
  <c r="P38" i="173"/>
  <c r="V38" i="173"/>
  <c r="AA38" i="173"/>
  <c r="L38" i="173"/>
  <c r="S38" i="173"/>
  <c r="O38" i="173"/>
  <c r="J38" i="173"/>
  <c r="K38" i="173"/>
  <c r="X38" i="173"/>
  <c r="M38" i="173"/>
  <c r="AB38" i="173"/>
  <c r="T38" i="173"/>
  <c r="R38" i="173"/>
  <c r="Y38" i="173"/>
  <c r="Z38" i="173"/>
  <c r="U38" i="173"/>
  <c r="G38" i="172"/>
  <c r="H38" i="172" s="1"/>
  <c r="C39" i="172"/>
  <c r="AC31" i="140"/>
  <c r="B41" i="100"/>
  <c r="A42" i="100"/>
  <c r="C40" i="100"/>
  <c r="I38" i="100"/>
  <c r="H38" i="100"/>
  <c r="G38" i="100"/>
  <c r="F38" i="100"/>
  <c r="K38" i="100"/>
  <c r="R38" i="100"/>
  <c r="N38" i="100"/>
  <c r="M38" i="100"/>
  <c r="T38" i="100"/>
  <c r="AA38" i="100"/>
  <c r="X38" i="100"/>
  <c r="L38" i="100"/>
  <c r="AB38" i="100"/>
  <c r="Y38" i="100"/>
  <c r="V38" i="100"/>
  <c r="U38" i="100"/>
  <c r="S38" i="100"/>
  <c r="O38" i="100"/>
  <c r="Q38" i="100"/>
  <c r="W38" i="100"/>
  <c r="Z38" i="100"/>
  <c r="P38" i="100"/>
  <c r="J38" i="100"/>
  <c r="E39" i="100"/>
  <c r="B43" i="173"/>
  <c r="A44" i="173"/>
  <c r="AE32" i="140"/>
  <c r="D39" i="100"/>
  <c r="I27" i="172"/>
  <c r="P27" i="172" l="1"/>
  <c r="T39" i="173"/>
  <c r="V39" i="173"/>
  <c r="N39" i="173"/>
  <c r="S39" i="173"/>
  <c r="W39" i="173"/>
  <c r="Q39" i="173"/>
  <c r="P39" i="173"/>
  <c r="AA39" i="173"/>
  <c r="AB39" i="173"/>
  <c r="Z39" i="173"/>
  <c r="K39" i="173"/>
  <c r="O39" i="173"/>
  <c r="M39" i="173"/>
  <c r="R39" i="173"/>
  <c r="L39" i="173"/>
  <c r="J39" i="173"/>
  <c r="U39" i="173"/>
  <c r="X39" i="173"/>
  <c r="F40" i="173"/>
  <c r="H40" i="173"/>
  <c r="G40" i="173"/>
  <c r="C41" i="173"/>
  <c r="E41" i="173" s="1"/>
  <c r="B42" i="173"/>
  <c r="C42" i="173" s="1"/>
  <c r="E42" i="173" s="1"/>
  <c r="D40" i="173"/>
  <c r="G39" i="172"/>
  <c r="H39" i="172" s="1"/>
  <c r="C40" i="172"/>
  <c r="AC32" i="140"/>
  <c r="B44" i="173"/>
  <c r="A45" i="173"/>
  <c r="F39" i="100"/>
  <c r="I39" i="100"/>
  <c r="H39" i="100"/>
  <c r="G39" i="100"/>
  <c r="V39" i="100"/>
  <c r="Y39" i="100"/>
  <c r="T39" i="100"/>
  <c r="Z39" i="100"/>
  <c r="U39" i="100"/>
  <c r="S39" i="100"/>
  <c r="M39" i="100"/>
  <c r="Q39" i="100"/>
  <c r="X39" i="100"/>
  <c r="AB39" i="100"/>
  <c r="O39" i="100"/>
  <c r="N39" i="100"/>
  <c r="R39" i="100"/>
  <c r="W39" i="100"/>
  <c r="K39" i="100"/>
  <c r="L39" i="100"/>
  <c r="P39" i="100"/>
  <c r="AA39" i="100"/>
  <c r="J39" i="100"/>
  <c r="E40" i="100"/>
  <c r="B42" i="100"/>
  <c r="A43" i="100"/>
  <c r="C41" i="100"/>
  <c r="D40" i="100"/>
  <c r="AE33" i="140"/>
  <c r="H41" i="173" l="1"/>
  <c r="I41" i="173"/>
  <c r="G41" i="173"/>
  <c r="F41" i="173"/>
  <c r="B42" i="172"/>
  <c r="F42" i="172" s="1"/>
  <c r="E42" i="172" s="1"/>
  <c r="C43" i="173"/>
  <c r="E43" i="173" s="1"/>
  <c r="T40" i="173"/>
  <c r="O40" i="173"/>
  <c r="AB40" i="173"/>
  <c r="X40" i="173"/>
  <c r="V40" i="173"/>
  <c r="W40" i="173"/>
  <c r="Y40" i="173"/>
  <c r="Q40" i="173"/>
  <c r="N40" i="173"/>
  <c r="P40" i="173"/>
  <c r="J40" i="173"/>
  <c r="U40" i="173"/>
  <c r="R40" i="173"/>
  <c r="Z40" i="173"/>
  <c r="AA40" i="173"/>
  <c r="L40" i="173"/>
  <c r="K40" i="173"/>
  <c r="M40" i="173"/>
  <c r="S40" i="173"/>
  <c r="D41" i="173"/>
  <c r="G40" i="172"/>
  <c r="H40" i="172" s="1"/>
  <c r="B43" i="172"/>
  <c r="F43" i="172" s="1"/>
  <c r="E43" i="172" s="1"/>
  <c r="C41" i="172"/>
  <c r="AC33" i="140"/>
  <c r="E41" i="100"/>
  <c r="F42" i="173"/>
  <c r="H42" i="173"/>
  <c r="G42" i="173"/>
  <c r="I42" i="173"/>
  <c r="B45" i="173"/>
  <c r="A46" i="173"/>
  <c r="C44" i="173"/>
  <c r="Z40" i="100"/>
  <c r="M40" i="100"/>
  <c r="U40" i="100"/>
  <c r="S40" i="100"/>
  <c r="W40" i="100"/>
  <c r="R40" i="100"/>
  <c r="P40" i="100"/>
  <c r="Y40" i="100"/>
  <c r="V40" i="100"/>
  <c r="X40" i="100"/>
  <c r="T40" i="100"/>
  <c r="L40" i="100"/>
  <c r="AA40" i="100"/>
  <c r="O40" i="100"/>
  <c r="Q40" i="100"/>
  <c r="K40" i="100"/>
  <c r="AB40" i="100"/>
  <c r="N40" i="100"/>
  <c r="J40" i="100"/>
  <c r="C42" i="100"/>
  <c r="B43" i="100"/>
  <c r="A44" i="100"/>
  <c r="I40" i="100"/>
  <c r="F40" i="100"/>
  <c r="H40" i="100"/>
  <c r="G40" i="100"/>
  <c r="AE34" i="140"/>
  <c r="D41" i="100"/>
  <c r="D43" i="173" l="1"/>
  <c r="Q43" i="173" s="1"/>
  <c r="D42" i="173"/>
  <c r="Z42" i="173" s="1"/>
  <c r="W41" i="173"/>
  <c r="P41" i="173"/>
  <c r="AB41" i="173"/>
  <c r="M41" i="173"/>
  <c r="R41" i="173"/>
  <c r="AA41" i="173"/>
  <c r="X41" i="173"/>
  <c r="Q41" i="173"/>
  <c r="O41" i="173"/>
  <c r="V41" i="173"/>
  <c r="S41" i="173"/>
  <c r="J41" i="173"/>
  <c r="Y41" i="173"/>
  <c r="Z41" i="173"/>
  <c r="N41" i="173"/>
  <c r="L41" i="173"/>
  <c r="K41" i="173"/>
  <c r="U41" i="173"/>
  <c r="T41" i="173"/>
  <c r="G41" i="172"/>
  <c r="H41" i="172" s="1"/>
  <c r="B44" i="172"/>
  <c r="F44" i="172" s="1"/>
  <c r="E44" i="172" s="1"/>
  <c r="C42" i="172"/>
  <c r="AC34" i="140"/>
  <c r="F41" i="100"/>
  <c r="G41" i="100"/>
  <c r="H41" i="100"/>
  <c r="I41" i="100"/>
  <c r="X41" i="100"/>
  <c r="M41" i="100"/>
  <c r="V41" i="100"/>
  <c r="AB41" i="100"/>
  <c r="Q41" i="100"/>
  <c r="O41" i="100"/>
  <c r="Z41" i="100"/>
  <c r="P41" i="100"/>
  <c r="AA41" i="100"/>
  <c r="S41" i="100"/>
  <c r="Y41" i="100"/>
  <c r="W41" i="100"/>
  <c r="T41" i="100"/>
  <c r="N41" i="100"/>
  <c r="U41" i="100"/>
  <c r="L41" i="100"/>
  <c r="K41" i="100"/>
  <c r="R41" i="100"/>
  <c r="J41" i="100"/>
  <c r="E44" i="173"/>
  <c r="D44" i="173"/>
  <c r="B44" i="100"/>
  <c r="A45" i="100"/>
  <c r="C45" i="173"/>
  <c r="J43" i="173"/>
  <c r="B46" i="173"/>
  <c r="A47" i="173"/>
  <c r="C43" i="100"/>
  <c r="F43" i="173"/>
  <c r="G43" i="173"/>
  <c r="H43" i="173"/>
  <c r="I43" i="173"/>
  <c r="E42" i="100"/>
  <c r="B73" i="163"/>
  <c r="B7" i="163"/>
  <c r="D36" i="172"/>
  <c r="L83" i="163"/>
  <c r="L47" i="163"/>
  <c r="B47" i="163"/>
  <c r="D38" i="172"/>
  <c r="B83" i="163"/>
  <c r="D34" i="172"/>
  <c r="L63" i="163"/>
  <c r="D33" i="172"/>
  <c r="B43" i="163"/>
  <c r="L17" i="163"/>
  <c r="L77" i="163"/>
  <c r="L53" i="163"/>
  <c r="D40" i="172"/>
  <c r="D35" i="172"/>
  <c r="B77" i="163"/>
  <c r="L33" i="163"/>
  <c r="D29" i="172"/>
  <c r="L23" i="163"/>
  <c r="L13" i="163"/>
  <c r="L43" i="163"/>
  <c r="AE35" i="140"/>
  <c r="B23" i="163"/>
  <c r="B57" i="163"/>
  <c r="D42" i="172"/>
  <c r="D41" i="172"/>
  <c r="D30" i="172"/>
  <c r="D42" i="100"/>
  <c r="L67" i="163"/>
  <c r="L7" i="163"/>
  <c r="B37" i="163"/>
  <c r="D32" i="172"/>
  <c r="D31" i="172"/>
  <c r="B27" i="163"/>
  <c r="L57" i="163"/>
  <c r="L73" i="163"/>
  <c r="D39" i="172"/>
  <c r="L27" i="163"/>
  <c r="B53" i="163"/>
  <c r="B67" i="163"/>
  <c r="B13" i="163"/>
  <c r="B33" i="163"/>
  <c r="B63" i="163"/>
  <c r="L37" i="163"/>
  <c r="D37" i="172"/>
  <c r="B17" i="163"/>
  <c r="AB43" i="173" l="1"/>
  <c r="O43" i="173"/>
  <c r="L43" i="173"/>
  <c r="X43" i="173"/>
  <c r="M43" i="173"/>
  <c r="Z43" i="173"/>
  <c r="N43" i="173"/>
  <c r="P43" i="173"/>
  <c r="R43" i="173"/>
  <c r="T43" i="173"/>
  <c r="W43" i="173"/>
  <c r="AA43" i="173"/>
  <c r="S43" i="173"/>
  <c r="Y43" i="173"/>
  <c r="V43" i="173"/>
  <c r="U43" i="173"/>
  <c r="K43" i="173"/>
  <c r="O20" i="163"/>
  <c r="O80" i="163"/>
  <c r="O30" i="163"/>
  <c r="O10" i="163"/>
  <c r="O40" i="163"/>
  <c r="O70" i="163"/>
  <c r="O50" i="163"/>
  <c r="O60" i="163"/>
  <c r="K42" i="173"/>
  <c r="X42" i="173"/>
  <c r="Q42" i="173"/>
  <c r="O42" i="173"/>
  <c r="U42" i="173"/>
  <c r="L42" i="173"/>
  <c r="T42" i="173"/>
  <c r="P42" i="173"/>
  <c r="M42" i="173"/>
  <c r="Y42" i="173"/>
  <c r="J42" i="173"/>
  <c r="R42" i="173"/>
  <c r="AA42" i="173"/>
  <c r="W42" i="173"/>
  <c r="AB42" i="173"/>
  <c r="N42" i="173"/>
  <c r="V42" i="173"/>
  <c r="S42" i="173"/>
  <c r="G42" i="172"/>
  <c r="H42" i="172" s="1"/>
  <c r="C43" i="172"/>
  <c r="D43" i="172" s="1"/>
  <c r="B45" i="172"/>
  <c r="F45" i="172" s="1"/>
  <c r="E45" i="172" s="1"/>
  <c r="AC35" i="140"/>
  <c r="B47" i="173"/>
  <c r="A48" i="173"/>
  <c r="I42" i="100"/>
  <c r="F42" i="100"/>
  <c r="G42" i="100"/>
  <c r="H42" i="100"/>
  <c r="D43" i="100"/>
  <c r="E43" i="100"/>
  <c r="N42" i="100"/>
  <c r="V42" i="100"/>
  <c r="X42" i="100"/>
  <c r="AB42" i="100"/>
  <c r="K42" i="100"/>
  <c r="S42" i="100"/>
  <c r="U42" i="100"/>
  <c r="R42" i="100"/>
  <c r="AA42" i="100"/>
  <c r="Z42" i="100"/>
  <c r="M42" i="100"/>
  <c r="P42" i="100"/>
  <c r="L42" i="100"/>
  <c r="T42" i="100"/>
  <c r="Y42" i="100"/>
  <c r="W42" i="100"/>
  <c r="Q42" i="100"/>
  <c r="O42" i="100"/>
  <c r="J42" i="100"/>
  <c r="E45" i="173"/>
  <c r="D45" i="173"/>
  <c r="B45" i="100"/>
  <c r="A46" i="100"/>
  <c r="C46" i="173"/>
  <c r="C44" i="100"/>
  <c r="X44" i="173"/>
  <c r="Q44" i="173"/>
  <c r="AB44" i="173"/>
  <c r="Y44" i="173"/>
  <c r="R44" i="173"/>
  <c r="W44" i="173"/>
  <c r="AA44" i="173"/>
  <c r="O44" i="173"/>
  <c r="Z44" i="173"/>
  <c r="U44" i="173"/>
  <c r="M44" i="173"/>
  <c r="L44" i="173"/>
  <c r="S44" i="173"/>
  <c r="P44" i="173"/>
  <c r="N44" i="173"/>
  <c r="V44" i="173"/>
  <c r="T44" i="173"/>
  <c r="K44" i="173"/>
  <c r="J44" i="173"/>
  <c r="H44" i="173"/>
  <c r="G44" i="173"/>
  <c r="F44" i="173"/>
  <c r="I44" i="173"/>
  <c r="Z50" i="163"/>
  <c r="Z60" i="163"/>
  <c r="AE36" i="140"/>
  <c r="P10" i="163"/>
  <c r="P50" i="163"/>
  <c r="Z70" i="163"/>
  <c r="Z40" i="163"/>
  <c r="Z20" i="163"/>
  <c r="Z30" i="163"/>
  <c r="BT86" i="163" l="1"/>
  <c r="BT88" i="163"/>
  <c r="BT84" i="163"/>
  <c r="BT81" i="163"/>
  <c r="BT87" i="163"/>
  <c r="BT83" i="163"/>
  <c r="BT85" i="163"/>
  <c r="BT82" i="163"/>
  <c r="J43" i="172"/>
  <c r="G43" i="172"/>
  <c r="H43" i="172" s="1"/>
  <c r="B46" i="172"/>
  <c r="F46" i="172" s="1"/>
  <c r="E46" i="172" s="1"/>
  <c r="C44" i="172"/>
  <c r="D44" i="172" s="1"/>
  <c r="AC36" i="140"/>
  <c r="E44" i="100"/>
  <c r="C45" i="100"/>
  <c r="B48" i="173"/>
  <c r="A49" i="173"/>
  <c r="AA45" i="173"/>
  <c r="Y45" i="173"/>
  <c r="M45" i="173"/>
  <c r="V45" i="173"/>
  <c r="Q45" i="173"/>
  <c r="P45" i="173"/>
  <c r="U45" i="173"/>
  <c r="W45" i="173"/>
  <c r="K45" i="173"/>
  <c r="N45" i="173"/>
  <c r="T45" i="173"/>
  <c r="X45" i="173"/>
  <c r="O45" i="173"/>
  <c r="S45" i="173"/>
  <c r="L45" i="173"/>
  <c r="R45" i="173"/>
  <c r="Z45" i="173"/>
  <c r="AB45" i="173"/>
  <c r="J45" i="173"/>
  <c r="C47" i="173"/>
  <c r="G45" i="173"/>
  <c r="F45" i="173"/>
  <c r="I45" i="173"/>
  <c r="H45" i="173"/>
  <c r="F43" i="100"/>
  <c r="G43" i="100"/>
  <c r="I43" i="100"/>
  <c r="H43" i="100"/>
  <c r="D46" i="173"/>
  <c r="E46" i="173"/>
  <c r="AA43" i="100"/>
  <c r="W43" i="100"/>
  <c r="N43" i="100"/>
  <c r="P43" i="100"/>
  <c r="U43" i="100"/>
  <c r="M43" i="100"/>
  <c r="T43" i="100"/>
  <c r="X43" i="100"/>
  <c r="K43" i="100"/>
  <c r="R43" i="100"/>
  <c r="Y43" i="100"/>
  <c r="S43" i="100"/>
  <c r="AB43" i="100"/>
  <c r="Q43" i="100"/>
  <c r="V43" i="100"/>
  <c r="Z43" i="100"/>
  <c r="O43" i="100"/>
  <c r="L43" i="100"/>
  <c r="J43" i="100"/>
  <c r="B46" i="100"/>
  <c r="A47" i="100"/>
  <c r="P60" i="163"/>
  <c r="P20" i="163"/>
  <c r="Z80" i="163"/>
  <c r="AE37" i="140"/>
  <c r="P80" i="163"/>
  <c r="P70" i="163"/>
  <c r="P40" i="163"/>
  <c r="Z10" i="163"/>
  <c r="P30" i="163"/>
  <c r="D44" i="100"/>
  <c r="AC75" i="163" l="1"/>
  <c r="AQ70" i="163" s="1"/>
  <c r="AC15" i="163"/>
  <c r="AC35" i="163"/>
  <c r="AQ60" i="163" s="1"/>
  <c r="AC55" i="163"/>
  <c r="BO82" i="163"/>
  <c r="BP82" i="163" s="1"/>
  <c r="BO87" i="163"/>
  <c r="BP87" i="163" s="1"/>
  <c r="BO86" i="163"/>
  <c r="BP86" i="163" s="1"/>
  <c r="BO84" i="163"/>
  <c r="BP84" i="163" s="1"/>
  <c r="BO88" i="163"/>
  <c r="BP88" i="163" s="1"/>
  <c r="BO83" i="163"/>
  <c r="BP83" i="163" s="1"/>
  <c r="BO85" i="163"/>
  <c r="BP85" i="163" s="1"/>
  <c r="BO81" i="163"/>
  <c r="BP81" i="163" s="1"/>
  <c r="R43" i="172"/>
  <c r="T43" i="172"/>
  <c r="S43" i="172"/>
  <c r="O43" i="172"/>
  <c r="G44" i="172"/>
  <c r="H44" i="172" s="1"/>
  <c r="C45" i="172"/>
  <c r="D45" i="172" s="1"/>
  <c r="B47" i="172"/>
  <c r="F47" i="172" s="1"/>
  <c r="E47" i="172" s="1"/>
  <c r="AC37" i="140"/>
  <c r="C46" i="100"/>
  <c r="E45" i="100"/>
  <c r="E47" i="173"/>
  <c r="D47" i="173"/>
  <c r="F44" i="100"/>
  <c r="G44" i="100"/>
  <c r="H44" i="100"/>
  <c r="I44" i="100"/>
  <c r="U44" i="100"/>
  <c r="X44" i="100"/>
  <c r="M44" i="100"/>
  <c r="W44" i="100"/>
  <c r="S44" i="100"/>
  <c r="AB44" i="100"/>
  <c r="O44" i="100"/>
  <c r="V44" i="100"/>
  <c r="Q44" i="100"/>
  <c r="K44" i="100"/>
  <c r="T44" i="100"/>
  <c r="Y44" i="100"/>
  <c r="R44" i="100"/>
  <c r="L44" i="100"/>
  <c r="Z44" i="100"/>
  <c r="P44" i="100"/>
  <c r="N44" i="100"/>
  <c r="AA44" i="100"/>
  <c r="J44" i="100"/>
  <c r="G46" i="173"/>
  <c r="H46" i="173"/>
  <c r="I46" i="173"/>
  <c r="F46" i="173"/>
  <c r="B49" i="173"/>
  <c r="A50" i="173"/>
  <c r="B47" i="100"/>
  <c r="A48" i="100"/>
  <c r="M46" i="173"/>
  <c r="X46" i="173"/>
  <c r="W46" i="173"/>
  <c r="O46" i="173"/>
  <c r="T46" i="173"/>
  <c r="L46" i="173"/>
  <c r="Q46" i="173"/>
  <c r="K46" i="173"/>
  <c r="U46" i="173"/>
  <c r="S46" i="173"/>
  <c r="Z46" i="173"/>
  <c r="P46" i="173"/>
  <c r="V46" i="173"/>
  <c r="AB46" i="173"/>
  <c r="R46" i="173"/>
  <c r="AA46" i="173"/>
  <c r="N46" i="173"/>
  <c r="Y46" i="173"/>
  <c r="J46" i="173"/>
  <c r="C48" i="173"/>
  <c r="AN15" i="163"/>
  <c r="I43" i="172"/>
  <c r="BB70" i="163"/>
  <c r="BB60" i="163"/>
  <c r="AE38" i="140"/>
  <c r="AD35" i="163"/>
  <c r="AN35" i="163"/>
  <c r="AN55" i="163"/>
  <c r="D45" i="100"/>
  <c r="BE65" i="163" l="1"/>
  <c r="BK48" i="163" s="1"/>
  <c r="AQ30" i="163"/>
  <c r="BT77" i="163"/>
  <c r="AQ20" i="163"/>
  <c r="BE25" i="163" s="1"/>
  <c r="BT78" i="163"/>
  <c r="BT80" i="163"/>
  <c r="BT79" i="163"/>
  <c r="J44" i="172"/>
  <c r="L43" i="172"/>
  <c r="P43" i="172"/>
  <c r="M43" i="172"/>
  <c r="N43" i="172"/>
  <c r="K43" i="172"/>
  <c r="G45" i="172"/>
  <c r="H45" i="172" s="1"/>
  <c r="Q43" i="172"/>
  <c r="C46" i="172"/>
  <c r="D46" i="172" s="1"/>
  <c r="B48" i="172"/>
  <c r="F48" i="172" s="1"/>
  <c r="E48" i="172" s="1"/>
  <c r="AC38" i="140"/>
  <c r="N47" i="173"/>
  <c r="P47" i="173"/>
  <c r="AA47" i="173"/>
  <c r="Z47" i="173"/>
  <c r="K47" i="173"/>
  <c r="Q47" i="173"/>
  <c r="X47" i="173"/>
  <c r="R47" i="173"/>
  <c r="W47" i="173"/>
  <c r="U47" i="173"/>
  <c r="AB47" i="173"/>
  <c r="V47" i="173"/>
  <c r="Y47" i="173"/>
  <c r="O47" i="173"/>
  <c r="L47" i="173"/>
  <c r="T47" i="173"/>
  <c r="S47" i="173"/>
  <c r="M47" i="173"/>
  <c r="J47" i="173"/>
  <c r="B48" i="100"/>
  <c r="A49" i="100"/>
  <c r="F47" i="173"/>
  <c r="G47" i="173"/>
  <c r="H47" i="173"/>
  <c r="I47" i="173"/>
  <c r="E48" i="173"/>
  <c r="D48" i="173"/>
  <c r="C47" i="100"/>
  <c r="F45" i="100"/>
  <c r="I45" i="100"/>
  <c r="H45" i="100"/>
  <c r="G45" i="100"/>
  <c r="R45" i="100"/>
  <c r="X45" i="100"/>
  <c r="Z45" i="100"/>
  <c r="Q45" i="100"/>
  <c r="AA45" i="100"/>
  <c r="N45" i="100"/>
  <c r="AB45" i="100"/>
  <c r="L45" i="100"/>
  <c r="V45" i="100"/>
  <c r="T45" i="100"/>
  <c r="Y45" i="100"/>
  <c r="U45" i="100"/>
  <c r="W45" i="100"/>
  <c r="M45" i="100"/>
  <c r="K45" i="100"/>
  <c r="S45" i="100"/>
  <c r="O45" i="100"/>
  <c r="P45" i="100"/>
  <c r="J45" i="100"/>
  <c r="B50" i="173"/>
  <c r="A51" i="173"/>
  <c r="C49" i="173"/>
  <c r="E46" i="100"/>
  <c r="AN75" i="163"/>
  <c r="BB20" i="163"/>
  <c r="AD75" i="163"/>
  <c r="BK25" i="163"/>
  <c r="I44" i="172"/>
  <c r="BK65" i="163"/>
  <c r="AD15" i="163"/>
  <c r="D46" i="100"/>
  <c r="AR70" i="163"/>
  <c r="BF65" i="163"/>
  <c r="AE39" i="140"/>
  <c r="BB30" i="163"/>
  <c r="AR60" i="163"/>
  <c r="AD55" i="163"/>
  <c r="BK42" i="163" l="1"/>
  <c r="BO73" i="163"/>
  <c r="BK44" i="163"/>
  <c r="BO76" i="163"/>
  <c r="BR76" i="163" s="1"/>
  <c r="BO75" i="163"/>
  <c r="BR75" i="163" s="1"/>
  <c r="BK46" i="163"/>
  <c r="BF48" i="163"/>
  <c r="BF46" i="163"/>
  <c r="BO74" i="163"/>
  <c r="BO78" i="163"/>
  <c r="BP78" i="163" s="1"/>
  <c r="BO80" i="163"/>
  <c r="BP80" i="163" s="1"/>
  <c r="BO77" i="163"/>
  <c r="BP77" i="163" s="1"/>
  <c r="BO79" i="163"/>
  <c r="BP79" i="163" s="1"/>
  <c r="R44" i="172"/>
  <c r="S44" i="172"/>
  <c r="T44" i="172"/>
  <c r="M44" i="172"/>
  <c r="O44" i="172"/>
  <c r="L44" i="172"/>
  <c r="K44" i="172"/>
  <c r="P44" i="172"/>
  <c r="J45" i="172"/>
  <c r="N44" i="172"/>
  <c r="Q44" i="172"/>
  <c r="J46" i="172"/>
  <c r="G46" i="172"/>
  <c r="H46" i="172" s="1"/>
  <c r="B49" i="172"/>
  <c r="F49" i="172" s="1"/>
  <c r="E49" i="172" s="1"/>
  <c r="C47" i="172"/>
  <c r="D47" i="172" s="1"/>
  <c r="AC39" i="140"/>
  <c r="G48" i="173"/>
  <c r="I48" i="173"/>
  <c r="H48" i="173"/>
  <c r="F48" i="173"/>
  <c r="E49" i="173"/>
  <c r="D49" i="173"/>
  <c r="B51" i="173"/>
  <c r="A52" i="173"/>
  <c r="C50" i="173"/>
  <c r="D47" i="100"/>
  <c r="E47" i="100"/>
  <c r="B49" i="100"/>
  <c r="A50" i="100"/>
  <c r="H46" i="100"/>
  <c r="G46" i="100"/>
  <c r="I46" i="100"/>
  <c r="F46" i="100"/>
  <c r="Y46" i="100"/>
  <c r="T46" i="100"/>
  <c r="S46" i="100"/>
  <c r="N46" i="100"/>
  <c r="U46" i="100"/>
  <c r="X46" i="100"/>
  <c r="P46" i="100"/>
  <c r="L46" i="100"/>
  <c r="W46" i="100"/>
  <c r="Z46" i="100"/>
  <c r="AA46" i="100"/>
  <c r="M46" i="100"/>
  <c r="O46" i="100"/>
  <c r="V46" i="100"/>
  <c r="AB46" i="100"/>
  <c r="Q46" i="100"/>
  <c r="K46" i="100"/>
  <c r="R46" i="100"/>
  <c r="J46" i="100"/>
  <c r="C48" i="100"/>
  <c r="K48" i="173"/>
  <c r="O48" i="173"/>
  <c r="AA48" i="173"/>
  <c r="L48" i="173"/>
  <c r="P48" i="173"/>
  <c r="Q48" i="173"/>
  <c r="M48" i="173"/>
  <c r="S48" i="173"/>
  <c r="N48" i="173"/>
  <c r="Y48" i="173"/>
  <c r="T48" i="173"/>
  <c r="AB48" i="173"/>
  <c r="U48" i="173"/>
  <c r="R48" i="173"/>
  <c r="W48" i="173"/>
  <c r="X48" i="173"/>
  <c r="Z48" i="173"/>
  <c r="V48" i="173"/>
  <c r="J48" i="173"/>
  <c r="AE40" i="140"/>
  <c r="AR30" i="163"/>
  <c r="BF25" i="163"/>
  <c r="AR20" i="163"/>
  <c r="I45" i="172"/>
  <c r="BF44" i="163" l="1"/>
  <c r="BF42" i="163"/>
  <c r="BR73" i="163"/>
  <c r="BP73" i="163"/>
  <c r="BQ73" i="163"/>
  <c r="BP75" i="163"/>
  <c r="BQ75" i="163"/>
  <c r="BP76" i="163"/>
  <c r="BQ76" i="163"/>
  <c r="BR74" i="163"/>
  <c r="BQ74" i="163"/>
  <c r="BP74" i="163"/>
  <c r="BQ78" i="163"/>
  <c r="BQ79" i="163"/>
  <c r="BQ80" i="163"/>
  <c r="BQ77" i="163"/>
  <c r="S46" i="172"/>
  <c r="T46" i="172"/>
  <c r="R46" i="172"/>
  <c r="T45" i="172"/>
  <c r="R45" i="172"/>
  <c r="S45" i="172"/>
  <c r="N45" i="172"/>
  <c r="L45" i="172"/>
  <c r="K45" i="172"/>
  <c r="M45" i="172"/>
  <c r="O45" i="172"/>
  <c r="P45" i="172"/>
  <c r="Q45" i="172"/>
  <c r="J47" i="172"/>
  <c r="G47" i="172"/>
  <c r="H47" i="172" s="1"/>
  <c r="K46" i="172"/>
  <c r="B50" i="172"/>
  <c r="F50" i="172" s="1"/>
  <c r="E50" i="172" s="1"/>
  <c r="C48" i="172"/>
  <c r="D48" i="172" s="1"/>
  <c r="AC40" i="140"/>
  <c r="D48" i="100"/>
  <c r="E48" i="100"/>
  <c r="E50" i="173"/>
  <c r="D50" i="173"/>
  <c r="U49" i="173"/>
  <c r="V49" i="173"/>
  <c r="X49" i="173"/>
  <c r="Z49" i="173"/>
  <c r="S49" i="173"/>
  <c r="K49" i="173"/>
  <c r="M49" i="173"/>
  <c r="O49" i="173"/>
  <c r="L49" i="173"/>
  <c r="Y49" i="173"/>
  <c r="N49" i="173"/>
  <c r="AB49" i="173"/>
  <c r="W49" i="173"/>
  <c r="T49" i="173"/>
  <c r="Q49" i="173"/>
  <c r="AA49" i="173"/>
  <c r="P49" i="173"/>
  <c r="R49" i="173"/>
  <c r="J49" i="173"/>
  <c r="B50" i="100"/>
  <c r="A51" i="100"/>
  <c r="B52" i="173"/>
  <c r="A53" i="173"/>
  <c r="H49" i="173"/>
  <c r="I49" i="173"/>
  <c r="G49" i="173"/>
  <c r="F49" i="173"/>
  <c r="C49" i="100"/>
  <c r="C51" i="173"/>
  <c r="H47" i="100"/>
  <c r="I47" i="100"/>
  <c r="F47" i="100"/>
  <c r="G47" i="100"/>
  <c r="Y47" i="100"/>
  <c r="L47" i="100"/>
  <c r="P47" i="100"/>
  <c r="U47" i="100"/>
  <c r="N47" i="100"/>
  <c r="AA47" i="100"/>
  <c r="M47" i="100"/>
  <c r="R47" i="100"/>
  <c r="O47" i="100"/>
  <c r="X47" i="100"/>
  <c r="K47" i="100"/>
  <c r="W47" i="100"/>
  <c r="Q47" i="100"/>
  <c r="S47" i="100"/>
  <c r="T47" i="100"/>
  <c r="V47" i="100"/>
  <c r="AB47" i="100"/>
  <c r="Z47" i="100"/>
  <c r="J47" i="100"/>
  <c r="AE41" i="140"/>
  <c r="I46" i="172"/>
  <c r="R47" i="172" l="1"/>
  <c r="S47" i="172"/>
  <c r="T47" i="172"/>
  <c r="P46" i="172"/>
  <c r="Q46" i="172"/>
  <c r="J48" i="172"/>
  <c r="G48" i="172"/>
  <c r="H48" i="172" s="1"/>
  <c r="N46" i="172"/>
  <c r="O46" i="172"/>
  <c r="M46" i="172"/>
  <c r="L46" i="172"/>
  <c r="C49" i="172"/>
  <c r="D49" i="172" s="1"/>
  <c r="B51" i="172"/>
  <c r="F51" i="172" s="1"/>
  <c r="E51" i="172" s="1"/>
  <c r="AC41" i="140"/>
  <c r="G48" i="100"/>
  <c r="F48" i="100"/>
  <c r="H48" i="100"/>
  <c r="I48" i="100"/>
  <c r="W50" i="173"/>
  <c r="AA50" i="173"/>
  <c r="Q50" i="173"/>
  <c r="R50" i="173"/>
  <c r="K50" i="173"/>
  <c r="U50" i="173"/>
  <c r="N50" i="173"/>
  <c r="P50" i="173"/>
  <c r="X50" i="173"/>
  <c r="O50" i="173"/>
  <c r="AB50" i="173"/>
  <c r="Z50" i="173"/>
  <c r="L50" i="173"/>
  <c r="M50" i="173"/>
  <c r="S50" i="173"/>
  <c r="Y50" i="173"/>
  <c r="V50" i="173"/>
  <c r="T50" i="173"/>
  <c r="J50" i="173"/>
  <c r="O48" i="100"/>
  <c r="R48" i="100"/>
  <c r="N48" i="100"/>
  <c r="Z48" i="100"/>
  <c r="M48" i="100"/>
  <c r="AA48" i="100"/>
  <c r="L48" i="100"/>
  <c r="Y48" i="100"/>
  <c r="W48" i="100"/>
  <c r="Q48" i="100"/>
  <c r="T48" i="100"/>
  <c r="S48" i="100"/>
  <c r="K48" i="100"/>
  <c r="P48" i="100"/>
  <c r="V48" i="100"/>
  <c r="U48" i="100"/>
  <c r="AB48" i="100"/>
  <c r="X48" i="100"/>
  <c r="J48" i="100"/>
  <c r="B53" i="173"/>
  <c r="A54" i="173"/>
  <c r="H50" i="173"/>
  <c r="G50" i="173"/>
  <c r="F50" i="173"/>
  <c r="I50" i="173"/>
  <c r="C52" i="173"/>
  <c r="E51" i="173"/>
  <c r="D51" i="173"/>
  <c r="B51" i="100"/>
  <c r="A52" i="100"/>
  <c r="D49" i="100"/>
  <c r="E49" i="100"/>
  <c r="C50" i="100"/>
  <c r="BN86" i="163"/>
  <c r="BN73" i="163"/>
  <c r="BN78" i="163"/>
  <c r="BN76" i="163"/>
  <c r="BN80" i="163"/>
  <c r="BN88" i="163"/>
  <c r="BN83" i="163"/>
  <c r="BN82" i="163"/>
  <c r="BN74" i="163"/>
  <c r="BN85" i="163"/>
  <c r="I47" i="172"/>
  <c r="J29" i="172"/>
  <c r="BN79" i="163"/>
  <c r="BN87" i="163"/>
  <c r="BN84" i="163"/>
  <c r="BN75" i="163"/>
  <c r="AE42" i="140"/>
  <c r="BN81" i="163"/>
  <c r="BN77" i="163"/>
  <c r="I28" i="172"/>
  <c r="P28" i="172" l="1"/>
  <c r="O29" i="172"/>
  <c r="M29" i="172"/>
  <c r="L29" i="172"/>
  <c r="K29" i="172"/>
  <c r="N29" i="172"/>
  <c r="S48" i="172"/>
  <c r="R48" i="172"/>
  <c r="T48" i="172"/>
  <c r="P47" i="172"/>
  <c r="Q47" i="172"/>
  <c r="J49" i="172"/>
  <c r="G49" i="172"/>
  <c r="H49" i="172" s="1"/>
  <c r="O48" i="172"/>
  <c r="M47" i="172"/>
  <c r="N47" i="172"/>
  <c r="L47" i="172"/>
  <c r="K47" i="172"/>
  <c r="O47" i="172"/>
  <c r="B52" i="172"/>
  <c r="F52" i="172" s="1"/>
  <c r="E52" i="172" s="1"/>
  <c r="C50" i="172"/>
  <c r="D50" i="172" s="1"/>
  <c r="AC42" i="140"/>
  <c r="B52" i="100"/>
  <c r="A53" i="100"/>
  <c r="C51" i="100"/>
  <c r="F49" i="100"/>
  <c r="G49" i="100"/>
  <c r="I49" i="100"/>
  <c r="H49" i="100"/>
  <c r="R51" i="173"/>
  <c r="Y51" i="173"/>
  <c r="S51" i="173"/>
  <c r="T51" i="173"/>
  <c r="O51" i="173"/>
  <c r="AB51" i="173"/>
  <c r="W51" i="173"/>
  <c r="V51" i="173"/>
  <c r="K51" i="173"/>
  <c r="N51" i="173"/>
  <c r="L51" i="173"/>
  <c r="P51" i="173"/>
  <c r="M51" i="173"/>
  <c r="U51" i="173"/>
  <c r="AA51" i="173"/>
  <c r="X51" i="173"/>
  <c r="Z51" i="173"/>
  <c r="Q51" i="173"/>
  <c r="J51" i="173"/>
  <c r="H51" i="173"/>
  <c r="F51" i="173"/>
  <c r="I51" i="173"/>
  <c r="G51" i="173"/>
  <c r="B54" i="173"/>
  <c r="A55" i="173"/>
  <c r="L49" i="100"/>
  <c r="K49" i="100"/>
  <c r="T49" i="100"/>
  <c r="W49" i="100"/>
  <c r="X49" i="100"/>
  <c r="R49" i="100"/>
  <c r="AA49" i="100"/>
  <c r="U49" i="100"/>
  <c r="S49" i="100"/>
  <c r="O49" i="100"/>
  <c r="V49" i="100"/>
  <c r="P49" i="100"/>
  <c r="M49" i="100"/>
  <c r="Y49" i="100"/>
  <c r="N49" i="100"/>
  <c r="Z49" i="100"/>
  <c r="AB49" i="100"/>
  <c r="Q49" i="100"/>
  <c r="J49" i="100"/>
  <c r="C53" i="173"/>
  <c r="E52" i="173"/>
  <c r="D52" i="173"/>
  <c r="D50" i="100"/>
  <c r="E50" i="100"/>
  <c r="J33" i="172"/>
  <c r="J38" i="172"/>
  <c r="Q29" i="172"/>
  <c r="J37" i="172"/>
  <c r="J39" i="172"/>
  <c r="J40" i="172"/>
  <c r="S29" i="172"/>
  <c r="J35" i="172"/>
  <c r="J34" i="172"/>
  <c r="AE43" i="140"/>
  <c r="I29" i="172"/>
  <c r="J42" i="172"/>
  <c r="I49" i="172"/>
  <c r="J41" i="172"/>
  <c r="T29" i="172"/>
  <c r="J31" i="172"/>
  <c r="J32" i="172"/>
  <c r="J30" i="172"/>
  <c r="J36" i="172"/>
  <c r="R29" i="172"/>
  <c r="I48" i="172"/>
  <c r="L36" i="172" l="1"/>
  <c r="K36" i="172"/>
  <c r="N36" i="172"/>
  <c r="M36" i="172"/>
  <c r="O36" i="172"/>
  <c r="O30" i="172"/>
  <c r="L30" i="172"/>
  <c r="M30" i="172"/>
  <c r="N30" i="172"/>
  <c r="K30" i="172"/>
  <c r="O32" i="172"/>
  <c r="K32" i="172"/>
  <c r="L32" i="172"/>
  <c r="M32" i="172"/>
  <c r="N32" i="172"/>
  <c r="N31" i="172"/>
  <c r="O31" i="172"/>
  <c r="L31" i="172"/>
  <c r="M31" i="172"/>
  <c r="K31" i="172"/>
  <c r="L41" i="172"/>
  <c r="O41" i="172"/>
  <c r="N41" i="172"/>
  <c r="M41" i="172"/>
  <c r="K41" i="172"/>
  <c r="O42" i="172"/>
  <c r="N42" i="172"/>
  <c r="K42" i="172"/>
  <c r="L42" i="172"/>
  <c r="M42" i="172"/>
  <c r="P29" i="172"/>
  <c r="M34" i="172"/>
  <c r="O34" i="172"/>
  <c r="N34" i="172"/>
  <c r="L34" i="172"/>
  <c r="K34" i="172"/>
  <c r="O35" i="172"/>
  <c r="N35" i="172"/>
  <c r="K35" i="172"/>
  <c r="M35" i="172"/>
  <c r="L35" i="172"/>
  <c r="K40" i="172"/>
  <c r="M40" i="172"/>
  <c r="O40" i="172"/>
  <c r="L40" i="172"/>
  <c r="N40" i="172"/>
  <c r="M39" i="172"/>
  <c r="N39" i="172"/>
  <c r="L39" i="172"/>
  <c r="K39" i="172"/>
  <c r="O39" i="172"/>
  <c r="M37" i="172"/>
  <c r="N37" i="172"/>
  <c r="K37" i="172"/>
  <c r="O37" i="172"/>
  <c r="L37" i="172"/>
  <c r="L38" i="172"/>
  <c r="M38" i="172"/>
  <c r="O38" i="172"/>
  <c r="K38" i="172"/>
  <c r="N38" i="172"/>
  <c r="L33" i="172"/>
  <c r="K33" i="172"/>
  <c r="N33" i="172"/>
  <c r="M33" i="172"/>
  <c r="O33" i="172"/>
  <c r="R49" i="172"/>
  <c r="S49" i="172"/>
  <c r="T49" i="172"/>
  <c r="L48" i="172"/>
  <c r="K48" i="172"/>
  <c r="P49" i="172"/>
  <c r="P48" i="172"/>
  <c r="K49" i="172"/>
  <c r="M49" i="172"/>
  <c r="N49" i="172"/>
  <c r="O49" i="172"/>
  <c r="L49" i="172"/>
  <c r="Q48" i="172"/>
  <c r="Q49" i="172"/>
  <c r="M48" i="172"/>
  <c r="J50" i="172"/>
  <c r="G50" i="172"/>
  <c r="H50" i="172" s="1"/>
  <c r="N48" i="172"/>
  <c r="C51" i="172"/>
  <c r="D51" i="172" s="1"/>
  <c r="B53" i="172"/>
  <c r="F53" i="172" s="1"/>
  <c r="E53" i="172" s="1"/>
  <c r="AC43" i="140"/>
  <c r="AB50" i="100"/>
  <c r="Y50" i="100"/>
  <c r="W50" i="100"/>
  <c r="M50" i="100"/>
  <c r="X50" i="100"/>
  <c r="Z50" i="100"/>
  <c r="S50" i="100"/>
  <c r="N50" i="100"/>
  <c r="O50" i="100"/>
  <c r="AA50" i="100"/>
  <c r="U50" i="100"/>
  <c r="P50" i="100"/>
  <c r="K50" i="100"/>
  <c r="Q50" i="100"/>
  <c r="T50" i="100"/>
  <c r="L50" i="100"/>
  <c r="V50" i="100"/>
  <c r="R50" i="100"/>
  <c r="J50" i="100"/>
  <c r="M52" i="173"/>
  <c r="S52" i="173"/>
  <c r="X52" i="173"/>
  <c r="L52" i="173"/>
  <c r="W52" i="173"/>
  <c r="R52" i="173"/>
  <c r="T52" i="173"/>
  <c r="K52" i="173"/>
  <c r="Z52" i="173"/>
  <c r="AA52" i="173"/>
  <c r="U52" i="173"/>
  <c r="AB52" i="173"/>
  <c r="V52" i="173"/>
  <c r="O52" i="173"/>
  <c r="Q52" i="173"/>
  <c r="Y52" i="173"/>
  <c r="N52" i="173"/>
  <c r="P52" i="173"/>
  <c r="J52" i="173"/>
  <c r="B55" i="173"/>
  <c r="A56" i="173"/>
  <c r="F50" i="100"/>
  <c r="H50" i="100"/>
  <c r="I50" i="100"/>
  <c r="G50" i="100"/>
  <c r="F52" i="173"/>
  <c r="I52" i="173"/>
  <c r="G52" i="173"/>
  <c r="H52" i="173"/>
  <c r="D53" i="173"/>
  <c r="E53" i="173"/>
  <c r="C54" i="173"/>
  <c r="D51" i="100"/>
  <c r="E51" i="100"/>
  <c r="B53" i="100"/>
  <c r="A54" i="100"/>
  <c r="C52" i="100"/>
  <c r="I36" i="172"/>
  <c r="Q36" i="172"/>
  <c r="R32" i="172"/>
  <c r="T31" i="172"/>
  <c r="I41" i="172"/>
  <c r="S42" i="172"/>
  <c r="R35" i="172"/>
  <c r="R38" i="172"/>
  <c r="Q30" i="172"/>
  <c r="R33" i="172"/>
  <c r="S34" i="172"/>
  <c r="S39" i="172"/>
  <c r="I33" i="172"/>
  <c r="T40" i="172"/>
  <c r="S36" i="172"/>
  <c r="I30" i="172"/>
  <c r="T32" i="172"/>
  <c r="I42" i="172"/>
  <c r="R36" i="172"/>
  <c r="Q31" i="172"/>
  <c r="T39" i="172"/>
  <c r="I32" i="172"/>
  <c r="R41" i="172"/>
  <c r="T42" i="172"/>
  <c r="T34" i="172"/>
  <c r="S35" i="172"/>
  <c r="R39" i="172"/>
  <c r="Q37" i="172"/>
  <c r="T30" i="172"/>
  <c r="S31" i="172"/>
  <c r="R42" i="172"/>
  <c r="I34" i="172"/>
  <c r="R34" i="172"/>
  <c r="S40" i="172"/>
  <c r="Q39" i="172"/>
  <c r="I37" i="172"/>
  <c r="S37" i="172"/>
  <c r="T33" i="172"/>
  <c r="R37" i="172"/>
  <c r="I39" i="172"/>
  <c r="S38" i="172"/>
  <c r="T36" i="172"/>
  <c r="R30" i="172"/>
  <c r="I31" i="172"/>
  <c r="T41" i="172"/>
  <c r="Q42" i="172"/>
  <c r="T35" i="172"/>
  <c r="R40" i="172"/>
  <c r="T37" i="172"/>
  <c r="T38" i="172"/>
  <c r="Q33" i="172"/>
  <c r="AE44" i="140"/>
  <c r="R31" i="172"/>
  <c r="S41" i="172"/>
  <c r="S30" i="172"/>
  <c r="S32" i="172"/>
  <c r="Q41" i="172"/>
  <c r="Q34" i="172"/>
  <c r="I35" i="172"/>
  <c r="Q35" i="172"/>
  <c r="I38" i="172"/>
  <c r="Q38" i="172"/>
  <c r="S33" i="172"/>
  <c r="Q32" i="172"/>
  <c r="I40" i="172"/>
  <c r="Q40" i="172"/>
  <c r="P40" i="172" l="1"/>
  <c r="P38" i="172"/>
  <c r="P35" i="172"/>
  <c r="P31" i="172"/>
  <c r="P39" i="172"/>
  <c r="P37" i="172"/>
  <c r="P34" i="172"/>
  <c r="P32" i="172"/>
  <c r="P42" i="172"/>
  <c r="P30" i="172"/>
  <c r="P33" i="172"/>
  <c r="P41" i="172"/>
  <c r="P36" i="172"/>
  <c r="R50" i="172"/>
  <c r="S50" i="172"/>
  <c r="T50" i="172"/>
  <c r="G51" i="172"/>
  <c r="H51" i="172" s="1"/>
  <c r="J51" i="172"/>
  <c r="L50" i="172"/>
  <c r="C52" i="172"/>
  <c r="D52" i="172" s="1"/>
  <c r="B54" i="172"/>
  <c r="F54" i="172" s="1"/>
  <c r="E54" i="172" s="1"/>
  <c r="AC44" i="140"/>
  <c r="C53" i="100"/>
  <c r="Z53" i="173"/>
  <c r="O53" i="173"/>
  <c r="Q53" i="173"/>
  <c r="R53" i="173"/>
  <c r="M53" i="173"/>
  <c r="K53" i="173"/>
  <c r="L53" i="173"/>
  <c r="T53" i="173"/>
  <c r="S53" i="173"/>
  <c r="X53" i="173"/>
  <c r="N53" i="173"/>
  <c r="W53" i="173"/>
  <c r="AB53" i="173"/>
  <c r="P53" i="173"/>
  <c r="Y53" i="173"/>
  <c r="U53" i="173"/>
  <c r="V53" i="173"/>
  <c r="AA53" i="173"/>
  <c r="J53" i="173"/>
  <c r="B56" i="173"/>
  <c r="A57" i="173"/>
  <c r="I51" i="100"/>
  <c r="G51" i="100"/>
  <c r="F51" i="100"/>
  <c r="H51" i="100"/>
  <c r="C55" i="173"/>
  <c r="Z51" i="100"/>
  <c r="M51" i="100"/>
  <c r="W51" i="100"/>
  <c r="Q51" i="100"/>
  <c r="S51" i="100"/>
  <c r="P51" i="100"/>
  <c r="L51" i="100"/>
  <c r="T51" i="100"/>
  <c r="V51" i="100"/>
  <c r="AB51" i="100"/>
  <c r="U51" i="100"/>
  <c r="X51" i="100"/>
  <c r="R51" i="100"/>
  <c r="K51" i="100"/>
  <c r="AA51" i="100"/>
  <c r="Y51" i="100"/>
  <c r="O51" i="100"/>
  <c r="N51" i="100"/>
  <c r="J51" i="100"/>
  <c r="D52" i="100"/>
  <c r="E52" i="100"/>
  <c r="E54" i="173"/>
  <c r="D54" i="173"/>
  <c r="B54" i="100"/>
  <c r="A55" i="100"/>
  <c r="H53" i="173"/>
  <c r="F53" i="173"/>
  <c r="I53" i="173"/>
  <c r="G53" i="173"/>
  <c r="AE45" i="140"/>
  <c r="I50" i="172"/>
  <c r="R51" i="172" l="1"/>
  <c r="T51" i="172"/>
  <c r="S51" i="172"/>
  <c r="P50" i="172"/>
  <c r="K50" i="172"/>
  <c r="Q50" i="172"/>
  <c r="J52" i="172"/>
  <c r="G52" i="172"/>
  <c r="H52" i="172" s="1"/>
  <c r="N50" i="172"/>
  <c r="O50" i="172"/>
  <c r="M51" i="172"/>
  <c r="M50" i="172"/>
  <c r="B55" i="172"/>
  <c r="F55" i="172" s="1"/>
  <c r="E55" i="172" s="1"/>
  <c r="C53" i="172"/>
  <c r="D53" i="172" s="1"/>
  <c r="AC45" i="140"/>
  <c r="B57" i="173"/>
  <c r="A58" i="173"/>
  <c r="R54" i="173"/>
  <c r="U54" i="173"/>
  <c r="O54" i="173"/>
  <c r="Z54" i="173"/>
  <c r="X54" i="173"/>
  <c r="AB54" i="173"/>
  <c r="Q54" i="173"/>
  <c r="Y54" i="173"/>
  <c r="P54" i="173"/>
  <c r="T54" i="173"/>
  <c r="M54" i="173"/>
  <c r="W54" i="173"/>
  <c r="L54" i="173"/>
  <c r="K54" i="173"/>
  <c r="V54" i="173"/>
  <c r="S54" i="173"/>
  <c r="AA54" i="173"/>
  <c r="N54" i="173"/>
  <c r="J54" i="173"/>
  <c r="C56" i="173"/>
  <c r="F54" i="173"/>
  <c r="I54" i="173"/>
  <c r="H54" i="173"/>
  <c r="G54" i="173"/>
  <c r="H52" i="100"/>
  <c r="F52" i="100"/>
  <c r="G52" i="100"/>
  <c r="I52" i="100"/>
  <c r="E55" i="173"/>
  <c r="D55" i="173"/>
  <c r="B55" i="100"/>
  <c r="A56" i="100"/>
  <c r="Q52" i="100"/>
  <c r="U52" i="100"/>
  <c r="AB52" i="100"/>
  <c r="X52" i="100"/>
  <c r="AA52" i="100"/>
  <c r="P52" i="100"/>
  <c r="W52" i="100"/>
  <c r="V52" i="100"/>
  <c r="T52" i="100"/>
  <c r="K52" i="100"/>
  <c r="Z52" i="100"/>
  <c r="N52" i="100"/>
  <c r="Y52" i="100"/>
  <c r="O52" i="100"/>
  <c r="R52" i="100"/>
  <c r="M52" i="100"/>
  <c r="S52" i="100"/>
  <c r="L52" i="100"/>
  <c r="J52" i="100"/>
  <c r="C54" i="100"/>
  <c r="D53" i="100"/>
  <c r="E53" i="100"/>
  <c r="I51" i="172"/>
  <c r="AE46" i="140"/>
  <c r="R52" i="172" l="1"/>
  <c r="S52" i="172"/>
  <c r="T52" i="172"/>
  <c r="P51" i="172"/>
  <c r="G53" i="172"/>
  <c r="H53" i="172" s="1"/>
  <c r="J53" i="172"/>
  <c r="Q51" i="172"/>
  <c r="K51" i="172"/>
  <c r="O51" i="172"/>
  <c r="N51" i="172"/>
  <c r="L51" i="172"/>
  <c r="M52" i="172"/>
  <c r="B56" i="172"/>
  <c r="F56" i="172" s="1"/>
  <c r="E56" i="172" s="1"/>
  <c r="C54" i="172"/>
  <c r="D54" i="172" s="1"/>
  <c r="AC46" i="140"/>
  <c r="B56" i="100"/>
  <c r="A57" i="100"/>
  <c r="C57" i="173"/>
  <c r="G53" i="100"/>
  <c r="I53" i="100"/>
  <c r="H53" i="100"/>
  <c r="F53" i="100"/>
  <c r="S53" i="100"/>
  <c r="Y53" i="100"/>
  <c r="M53" i="100"/>
  <c r="Z53" i="100"/>
  <c r="K53" i="100"/>
  <c r="O53" i="100"/>
  <c r="U53" i="100"/>
  <c r="Q53" i="100"/>
  <c r="L53" i="100"/>
  <c r="R53" i="100"/>
  <c r="W53" i="100"/>
  <c r="AB53" i="100"/>
  <c r="X53" i="100"/>
  <c r="T53" i="100"/>
  <c r="P53" i="100"/>
  <c r="N53" i="100"/>
  <c r="V53" i="100"/>
  <c r="AA53" i="100"/>
  <c r="J53" i="100"/>
  <c r="C55" i="100"/>
  <c r="M55" i="173"/>
  <c r="V55" i="173"/>
  <c r="R55" i="173"/>
  <c r="X55" i="173"/>
  <c r="AB55" i="173"/>
  <c r="Q55" i="173"/>
  <c r="Y55" i="173"/>
  <c r="W55" i="173"/>
  <c r="S55" i="173"/>
  <c r="L55" i="173"/>
  <c r="N55" i="173"/>
  <c r="O55" i="173"/>
  <c r="T55" i="173"/>
  <c r="Z55" i="173"/>
  <c r="K55" i="173"/>
  <c r="P55" i="173"/>
  <c r="AA55" i="173"/>
  <c r="U55" i="173"/>
  <c r="J55" i="173"/>
  <c r="D54" i="100"/>
  <c r="E54" i="100"/>
  <c r="H55" i="173"/>
  <c r="G55" i="173"/>
  <c r="I55" i="173"/>
  <c r="F55" i="173"/>
  <c r="E56" i="173"/>
  <c r="D56" i="173"/>
  <c r="B58" i="173"/>
  <c r="A59" i="173"/>
  <c r="I52" i="172"/>
  <c r="AE47" i="140"/>
  <c r="I53" i="172"/>
  <c r="T53" i="172" l="1"/>
  <c r="R53" i="172"/>
  <c r="S53" i="172"/>
  <c r="L52" i="172"/>
  <c r="O52" i="172"/>
  <c r="P53" i="172"/>
  <c r="P52" i="172"/>
  <c r="K53" i="172"/>
  <c r="Q53" i="172"/>
  <c r="J54" i="172"/>
  <c r="G54" i="172"/>
  <c r="H54" i="172" s="1"/>
  <c r="N52" i="172"/>
  <c r="Q52" i="172"/>
  <c r="K52" i="172"/>
  <c r="O53" i="172"/>
  <c r="N53" i="172"/>
  <c r="L53" i="172"/>
  <c r="M53" i="172"/>
  <c r="B57" i="172"/>
  <c r="F57" i="172" s="1"/>
  <c r="E57" i="172" s="1"/>
  <c r="C55" i="172"/>
  <c r="D55" i="172" s="1"/>
  <c r="AC47" i="140"/>
  <c r="B59" i="173"/>
  <c r="A60" i="173"/>
  <c r="C58" i="173"/>
  <c r="U56" i="173"/>
  <c r="T56" i="173"/>
  <c r="W56" i="173"/>
  <c r="V56" i="173"/>
  <c r="AA56" i="173"/>
  <c r="Q56" i="173"/>
  <c r="R56" i="173"/>
  <c r="Z56" i="173"/>
  <c r="AB56" i="173"/>
  <c r="L56" i="173"/>
  <c r="Y56" i="173"/>
  <c r="M56" i="173"/>
  <c r="O56" i="173"/>
  <c r="N56" i="173"/>
  <c r="S56" i="173"/>
  <c r="P56" i="173"/>
  <c r="K56" i="173"/>
  <c r="X56" i="173"/>
  <c r="J56" i="173"/>
  <c r="E57" i="173"/>
  <c r="D57" i="173"/>
  <c r="D55" i="100"/>
  <c r="E55" i="100"/>
  <c r="F56" i="173"/>
  <c r="G56" i="173"/>
  <c r="H56" i="173"/>
  <c r="I56" i="173"/>
  <c r="AB54" i="100"/>
  <c r="N54" i="100"/>
  <c r="V54" i="100"/>
  <c r="X54" i="100"/>
  <c r="W54" i="100"/>
  <c r="O54" i="100"/>
  <c r="S54" i="100"/>
  <c r="Y54" i="100"/>
  <c r="Z54" i="100"/>
  <c r="U54" i="100"/>
  <c r="K54" i="100"/>
  <c r="Q54" i="100"/>
  <c r="R54" i="100"/>
  <c r="T54" i="100"/>
  <c r="M54" i="100"/>
  <c r="L54" i="100"/>
  <c r="AA54" i="100"/>
  <c r="P54" i="100"/>
  <c r="J54" i="100"/>
  <c r="G54" i="100"/>
  <c r="H54" i="100"/>
  <c r="I54" i="100"/>
  <c r="F54" i="100"/>
  <c r="B57" i="100"/>
  <c r="A58" i="100"/>
  <c r="C56" i="100"/>
  <c r="AE48" i="140"/>
  <c r="S54" i="172" l="1"/>
  <c r="T54" i="172"/>
  <c r="R54" i="172"/>
  <c r="G55" i="172"/>
  <c r="H55" i="172" s="1"/>
  <c r="J55" i="172"/>
  <c r="K54" i="172"/>
  <c r="B58" i="172"/>
  <c r="F58" i="172" s="1"/>
  <c r="E58" i="172" s="1"/>
  <c r="C56" i="172"/>
  <c r="D56" i="172" s="1"/>
  <c r="AC48" i="140"/>
  <c r="R57" i="173"/>
  <c r="AB57" i="173"/>
  <c r="Q57" i="173"/>
  <c r="S57" i="173"/>
  <c r="L57" i="173"/>
  <c r="X57" i="173"/>
  <c r="Y57" i="173"/>
  <c r="AA57" i="173"/>
  <c r="O57" i="173"/>
  <c r="Z57" i="173"/>
  <c r="U57" i="173"/>
  <c r="T57" i="173"/>
  <c r="V57" i="173"/>
  <c r="W57" i="173"/>
  <c r="M57" i="173"/>
  <c r="K57" i="173"/>
  <c r="N57" i="173"/>
  <c r="P57" i="173"/>
  <c r="J57" i="173"/>
  <c r="I57" i="173"/>
  <c r="F57" i="173"/>
  <c r="H57" i="173"/>
  <c r="G57" i="173"/>
  <c r="E58" i="173"/>
  <c r="D58" i="173"/>
  <c r="D56" i="100"/>
  <c r="E56" i="100"/>
  <c r="B60" i="173"/>
  <c r="A61" i="173"/>
  <c r="C57" i="100"/>
  <c r="G55" i="100"/>
  <c r="I55" i="100"/>
  <c r="H55" i="100"/>
  <c r="F55" i="100"/>
  <c r="C59" i="173"/>
  <c r="B58" i="100"/>
  <c r="A59" i="100"/>
  <c r="R55" i="100"/>
  <c r="K55" i="100"/>
  <c r="X55" i="100"/>
  <c r="S55" i="100"/>
  <c r="W55" i="100"/>
  <c r="U55" i="100"/>
  <c r="AB55" i="100"/>
  <c r="M55" i="100"/>
  <c r="L55" i="100"/>
  <c r="T55" i="100"/>
  <c r="Y55" i="100"/>
  <c r="Z55" i="100"/>
  <c r="N55" i="100"/>
  <c r="AA55" i="100"/>
  <c r="Q55" i="100"/>
  <c r="V55" i="100"/>
  <c r="P55" i="100"/>
  <c r="O55" i="100"/>
  <c r="J55" i="100"/>
  <c r="I54" i="172"/>
  <c r="AE49" i="140"/>
  <c r="R55" i="172" l="1"/>
  <c r="S55" i="172"/>
  <c r="T55" i="172"/>
  <c r="N54" i="172"/>
  <c r="P54" i="172"/>
  <c r="Q54" i="172"/>
  <c r="J56" i="172"/>
  <c r="G56" i="172"/>
  <c r="H56" i="172" s="1"/>
  <c r="M54" i="172"/>
  <c r="O54" i="172"/>
  <c r="L55" i="172"/>
  <c r="L54" i="172"/>
  <c r="B59" i="172"/>
  <c r="F59" i="172" s="1"/>
  <c r="E59" i="172" s="1"/>
  <c r="C57" i="172"/>
  <c r="D57" i="172" s="1"/>
  <c r="AC49" i="140"/>
  <c r="D57" i="100"/>
  <c r="E57" i="100"/>
  <c r="S56" i="100"/>
  <c r="M56" i="100"/>
  <c r="U56" i="100"/>
  <c r="N56" i="100"/>
  <c r="W56" i="100"/>
  <c r="AB56" i="100"/>
  <c r="Q56" i="100"/>
  <c r="V56" i="100"/>
  <c r="O56" i="100"/>
  <c r="T56" i="100"/>
  <c r="AA56" i="100"/>
  <c r="R56" i="100"/>
  <c r="Y56" i="100"/>
  <c r="K56" i="100"/>
  <c r="X56" i="100"/>
  <c r="Z56" i="100"/>
  <c r="L56" i="100"/>
  <c r="P56" i="100"/>
  <c r="J56" i="100"/>
  <c r="D59" i="173"/>
  <c r="E59" i="173"/>
  <c r="Q58" i="173"/>
  <c r="Y58" i="173"/>
  <c r="AA58" i="173"/>
  <c r="N58" i="173"/>
  <c r="R58" i="173"/>
  <c r="W58" i="173"/>
  <c r="P58" i="173"/>
  <c r="Z58" i="173"/>
  <c r="AB58" i="173"/>
  <c r="K58" i="173"/>
  <c r="L58" i="173"/>
  <c r="U58" i="173"/>
  <c r="T58" i="173"/>
  <c r="M58" i="173"/>
  <c r="V58" i="173"/>
  <c r="S58" i="173"/>
  <c r="O58" i="173"/>
  <c r="X58" i="173"/>
  <c r="J58" i="173"/>
  <c r="I58" i="173"/>
  <c r="F58" i="173"/>
  <c r="H58" i="173"/>
  <c r="G58" i="173"/>
  <c r="B61" i="173"/>
  <c r="A62" i="173"/>
  <c r="B59" i="100"/>
  <c r="A60" i="100"/>
  <c r="C60" i="173"/>
  <c r="C58" i="100"/>
  <c r="I56" i="100"/>
  <c r="G56" i="100"/>
  <c r="H56" i="100"/>
  <c r="F56" i="100"/>
  <c r="AE50" i="140"/>
  <c r="I55" i="172"/>
  <c r="S56" i="172" l="1"/>
  <c r="R56" i="172"/>
  <c r="T56" i="172"/>
  <c r="O55" i="172"/>
  <c r="K55" i="172"/>
  <c r="P55" i="172"/>
  <c r="N56" i="172"/>
  <c r="G57" i="172"/>
  <c r="H57" i="172" s="1"/>
  <c r="Q55" i="172"/>
  <c r="N55" i="172"/>
  <c r="M55" i="172"/>
  <c r="B60" i="172"/>
  <c r="F60" i="172" s="1"/>
  <c r="E60" i="172" s="1"/>
  <c r="C58" i="172"/>
  <c r="D58" i="172" s="1"/>
  <c r="AC50" i="140"/>
  <c r="B62" i="173"/>
  <c r="A63" i="173"/>
  <c r="F57" i="100"/>
  <c r="I57" i="100"/>
  <c r="H57" i="100"/>
  <c r="G57" i="100"/>
  <c r="C61" i="173"/>
  <c r="N57" i="100"/>
  <c r="V57" i="100"/>
  <c r="U57" i="100"/>
  <c r="X57" i="100"/>
  <c r="AA57" i="100"/>
  <c r="Y57" i="100"/>
  <c r="Z57" i="100"/>
  <c r="AB57" i="100"/>
  <c r="S57" i="100"/>
  <c r="L57" i="100"/>
  <c r="M57" i="100"/>
  <c r="K57" i="100"/>
  <c r="R57" i="100"/>
  <c r="T57" i="100"/>
  <c r="Q57" i="100"/>
  <c r="W57" i="100"/>
  <c r="O57" i="100"/>
  <c r="P57" i="100"/>
  <c r="J57" i="100"/>
  <c r="D58" i="100"/>
  <c r="E58" i="100"/>
  <c r="C59" i="100"/>
  <c r="E60" i="173"/>
  <c r="D60" i="173"/>
  <c r="H59" i="173"/>
  <c r="I59" i="173"/>
  <c r="G59" i="173"/>
  <c r="F59" i="173"/>
  <c r="B60" i="100"/>
  <c r="A61" i="100"/>
  <c r="N59" i="173"/>
  <c r="AB59" i="173"/>
  <c r="Q59" i="173"/>
  <c r="Z59" i="173"/>
  <c r="W59" i="173"/>
  <c r="S59" i="173"/>
  <c r="R59" i="173"/>
  <c r="O59" i="173"/>
  <c r="L59" i="173"/>
  <c r="Y59" i="173"/>
  <c r="P59" i="173"/>
  <c r="AA59" i="173"/>
  <c r="U59" i="173"/>
  <c r="X59" i="173"/>
  <c r="V59" i="173"/>
  <c r="M59" i="173"/>
  <c r="T59" i="173"/>
  <c r="K59" i="173"/>
  <c r="J59" i="173"/>
  <c r="I56" i="172"/>
  <c r="AE51" i="140"/>
  <c r="J57" i="172" l="1"/>
  <c r="M56" i="172"/>
  <c r="P56" i="172"/>
  <c r="O56" i="172"/>
  <c r="J58" i="172"/>
  <c r="G58" i="172"/>
  <c r="H58" i="172" s="1"/>
  <c r="K56" i="172"/>
  <c r="L56" i="172"/>
  <c r="Q56" i="172"/>
  <c r="C59" i="172"/>
  <c r="D59" i="172" s="1"/>
  <c r="B61" i="172"/>
  <c r="F61" i="172" s="1"/>
  <c r="E61" i="172" s="1"/>
  <c r="AC51" i="140"/>
  <c r="U58" i="100"/>
  <c r="M58" i="100"/>
  <c r="O58" i="100"/>
  <c r="K58" i="100"/>
  <c r="T58" i="100"/>
  <c r="S58" i="100"/>
  <c r="AA58" i="100"/>
  <c r="P58" i="100"/>
  <c r="Q58" i="100"/>
  <c r="L58" i="100"/>
  <c r="N58" i="100"/>
  <c r="Z58" i="100"/>
  <c r="X58" i="100"/>
  <c r="AB58" i="100"/>
  <c r="R58" i="100"/>
  <c r="W58" i="100"/>
  <c r="V58" i="100"/>
  <c r="Y58" i="100"/>
  <c r="J58" i="100"/>
  <c r="P60" i="173"/>
  <c r="Y60" i="173"/>
  <c r="X60" i="173"/>
  <c r="Q60" i="173"/>
  <c r="Z60" i="173"/>
  <c r="M60" i="173"/>
  <c r="AB60" i="173"/>
  <c r="W60" i="173"/>
  <c r="T60" i="173"/>
  <c r="S60" i="173"/>
  <c r="U60" i="173"/>
  <c r="R60" i="173"/>
  <c r="V60" i="173"/>
  <c r="AA60" i="173"/>
  <c r="O60" i="173"/>
  <c r="N60" i="173"/>
  <c r="K60" i="173"/>
  <c r="L60" i="173"/>
  <c r="J60" i="173"/>
  <c r="B61" i="100"/>
  <c r="A62" i="100"/>
  <c r="G60" i="173"/>
  <c r="F60" i="173"/>
  <c r="I60" i="173"/>
  <c r="H60" i="173"/>
  <c r="E61" i="173"/>
  <c r="D61" i="173"/>
  <c r="D59" i="100"/>
  <c r="E59" i="100"/>
  <c r="B63" i="173"/>
  <c r="A64" i="173"/>
  <c r="C60" i="100"/>
  <c r="C62" i="173"/>
  <c r="I58" i="100"/>
  <c r="H58" i="100"/>
  <c r="G58" i="100"/>
  <c r="F58" i="100"/>
  <c r="AE52" i="140"/>
  <c r="I57" i="172"/>
  <c r="R58" i="172" l="1"/>
  <c r="S58" i="172"/>
  <c r="T58" i="172"/>
  <c r="R57" i="172"/>
  <c r="S57" i="172"/>
  <c r="T57" i="172"/>
  <c r="K57" i="172"/>
  <c r="N57" i="172"/>
  <c r="M57" i="172"/>
  <c r="L57" i="172"/>
  <c r="Q57" i="172"/>
  <c r="P57" i="172"/>
  <c r="O57" i="172"/>
  <c r="N58" i="172"/>
  <c r="G59" i="172"/>
  <c r="H59" i="172" s="1"/>
  <c r="J59" i="172"/>
  <c r="C60" i="172"/>
  <c r="D60" i="172" s="1"/>
  <c r="B62" i="172"/>
  <c r="F62" i="172" s="1"/>
  <c r="E62" i="172" s="1"/>
  <c r="AC52" i="140"/>
  <c r="C63" i="173"/>
  <c r="H59" i="100"/>
  <c r="I59" i="100"/>
  <c r="G59" i="100"/>
  <c r="F59" i="100"/>
  <c r="B64" i="173"/>
  <c r="A65" i="173"/>
  <c r="X59" i="100"/>
  <c r="R59" i="100"/>
  <c r="T59" i="100"/>
  <c r="AB59" i="100"/>
  <c r="K59" i="100"/>
  <c r="U59" i="100"/>
  <c r="Z59" i="100"/>
  <c r="S59" i="100"/>
  <c r="V59" i="100"/>
  <c r="AA59" i="100"/>
  <c r="L59" i="100"/>
  <c r="P59" i="100"/>
  <c r="Q59" i="100"/>
  <c r="O59" i="100"/>
  <c r="N59" i="100"/>
  <c r="Y59" i="100"/>
  <c r="M59" i="100"/>
  <c r="W59" i="100"/>
  <c r="J59" i="100"/>
  <c r="B62" i="100"/>
  <c r="A63" i="100"/>
  <c r="D60" i="100"/>
  <c r="E60" i="100"/>
  <c r="C61" i="100"/>
  <c r="N61" i="173"/>
  <c r="V61" i="173"/>
  <c r="Y61" i="173"/>
  <c r="L61" i="173"/>
  <c r="Z61" i="173"/>
  <c r="AB61" i="173"/>
  <c r="Q61" i="173"/>
  <c r="W61" i="173"/>
  <c r="X61" i="173"/>
  <c r="S61" i="173"/>
  <c r="R61" i="173"/>
  <c r="T61" i="173"/>
  <c r="K61" i="173"/>
  <c r="U61" i="173"/>
  <c r="AA61" i="173"/>
  <c r="O61" i="173"/>
  <c r="P61" i="173"/>
  <c r="M61" i="173"/>
  <c r="J61" i="173"/>
  <c r="E62" i="173"/>
  <c r="D62" i="173"/>
  <c r="F61" i="173"/>
  <c r="H61" i="173"/>
  <c r="G61" i="173"/>
  <c r="I61" i="173"/>
  <c r="AE53" i="140"/>
  <c r="I58" i="172"/>
  <c r="R59" i="172" l="1"/>
  <c r="T59" i="172"/>
  <c r="S59" i="172"/>
  <c r="P58" i="172"/>
  <c r="M59" i="172"/>
  <c r="K58" i="172"/>
  <c r="Q58" i="172"/>
  <c r="G60" i="172"/>
  <c r="H60" i="172" s="1"/>
  <c r="O58" i="172"/>
  <c r="M58" i="172"/>
  <c r="L58" i="172"/>
  <c r="C61" i="172"/>
  <c r="D61" i="172" s="1"/>
  <c r="B63" i="172"/>
  <c r="F63" i="172" s="1"/>
  <c r="E63" i="172" s="1"/>
  <c r="AC53" i="140"/>
  <c r="G60" i="100"/>
  <c r="F60" i="100"/>
  <c r="H60" i="100"/>
  <c r="I60" i="100"/>
  <c r="E63" i="173"/>
  <c r="D63" i="173"/>
  <c r="X62" i="173"/>
  <c r="Z62" i="173"/>
  <c r="K62" i="173"/>
  <c r="M62" i="173"/>
  <c r="W62" i="173"/>
  <c r="O62" i="173"/>
  <c r="N62" i="173"/>
  <c r="V62" i="173"/>
  <c r="AB62" i="173"/>
  <c r="S62" i="173"/>
  <c r="T62" i="173"/>
  <c r="U62" i="173"/>
  <c r="Y62" i="173"/>
  <c r="Q62" i="173"/>
  <c r="L62" i="173"/>
  <c r="P62" i="173"/>
  <c r="R62" i="173"/>
  <c r="AA62" i="173"/>
  <c r="J62" i="173"/>
  <c r="AB60" i="100"/>
  <c r="Q60" i="100"/>
  <c r="X60" i="100"/>
  <c r="Z60" i="100"/>
  <c r="AA60" i="100"/>
  <c r="V60" i="100"/>
  <c r="S60" i="100"/>
  <c r="U60" i="100"/>
  <c r="P60" i="100"/>
  <c r="T60" i="100"/>
  <c r="Y60" i="100"/>
  <c r="M60" i="100"/>
  <c r="N60" i="100"/>
  <c r="W60" i="100"/>
  <c r="R60" i="100"/>
  <c r="L60" i="100"/>
  <c r="O60" i="100"/>
  <c r="K60" i="100"/>
  <c r="J60" i="100"/>
  <c r="B65" i="173"/>
  <c r="A66" i="173"/>
  <c r="D61" i="100"/>
  <c r="E61" i="100"/>
  <c r="B63" i="100"/>
  <c r="A64" i="100"/>
  <c r="C64" i="173"/>
  <c r="H62" i="173"/>
  <c r="I62" i="173"/>
  <c r="G62" i="173"/>
  <c r="F62" i="173"/>
  <c r="C62" i="100"/>
  <c r="I59" i="172"/>
  <c r="AE54" i="140"/>
  <c r="J60" i="172" l="1"/>
  <c r="O60" i="172" s="1"/>
  <c r="K59" i="172"/>
  <c r="L59" i="172"/>
  <c r="O59" i="172"/>
  <c r="N59" i="172"/>
  <c r="P59" i="172"/>
  <c r="G61" i="172"/>
  <c r="H61" i="172" s="1"/>
  <c r="J61" i="172"/>
  <c r="Q59" i="172"/>
  <c r="B64" i="172"/>
  <c r="F64" i="172" s="1"/>
  <c r="E64" i="172" s="1"/>
  <c r="C62" i="172"/>
  <c r="D62" i="172" s="1"/>
  <c r="AC54" i="140"/>
  <c r="F61" i="100"/>
  <c r="I61" i="100"/>
  <c r="H61" i="100"/>
  <c r="G61" i="100"/>
  <c r="U61" i="100"/>
  <c r="P61" i="100"/>
  <c r="V61" i="100"/>
  <c r="N61" i="100"/>
  <c r="Z61" i="100"/>
  <c r="T61" i="100"/>
  <c r="AB61" i="100"/>
  <c r="L61" i="100"/>
  <c r="O61" i="100"/>
  <c r="X61" i="100"/>
  <c r="AA61" i="100"/>
  <c r="Y61" i="100"/>
  <c r="K61" i="100"/>
  <c r="M61" i="100"/>
  <c r="W61" i="100"/>
  <c r="S61" i="100"/>
  <c r="R61" i="100"/>
  <c r="Q61" i="100"/>
  <c r="J61" i="100"/>
  <c r="D62" i="100"/>
  <c r="E62" i="100"/>
  <c r="B66" i="173"/>
  <c r="A67" i="173"/>
  <c r="U63" i="173"/>
  <c r="L63" i="173"/>
  <c r="S63" i="173"/>
  <c r="W63" i="173"/>
  <c r="AA63" i="173"/>
  <c r="AB63" i="173"/>
  <c r="Y63" i="173"/>
  <c r="X63" i="173"/>
  <c r="M63" i="173"/>
  <c r="Z63" i="173"/>
  <c r="O63" i="173"/>
  <c r="N63" i="173"/>
  <c r="K63" i="173"/>
  <c r="T63" i="173"/>
  <c r="V63" i="173"/>
  <c r="Q63" i="173"/>
  <c r="R63" i="173"/>
  <c r="P63" i="173"/>
  <c r="J63" i="173"/>
  <c r="E64" i="173"/>
  <c r="D64" i="173"/>
  <c r="C65" i="173"/>
  <c r="H63" i="173"/>
  <c r="F63" i="173"/>
  <c r="G63" i="173"/>
  <c r="I63" i="173"/>
  <c r="B64" i="100"/>
  <c r="A65" i="100"/>
  <c r="C63" i="100"/>
  <c r="AE55" i="140"/>
  <c r="L60" i="172" l="1"/>
  <c r="T61" i="172"/>
  <c r="R61" i="172"/>
  <c r="S61" i="172"/>
  <c r="R60" i="172"/>
  <c r="S60" i="172"/>
  <c r="T60" i="172"/>
  <c r="M60" i="172"/>
  <c r="K60" i="172"/>
  <c r="Q60" i="172"/>
  <c r="N60" i="172"/>
  <c r="J62" i="172"/>
  <c r="G62" i="172"/>
  <c r="H62" i="172" s="1"/>
  <c r="N61" i="172"/>
  <c r="C63" i="172"/>
  <c r="D63" i="172" s="1"/>
  <c r="B65" i="172"/>
  <c r="F65" i="172" s="1"/>
  <c r="E65" i="172" s="1"/>
  <c r="AC55" i="140"/>
  <c r="B67" i="173"/>
  <c r="A68" i="173"/>
  <c r="D63" i="100"/>
  <c r="E63" i="100"/>
  <c r="C66" i="173"/>
  <c r="H62" i="100"/>
  <c r="F62" i="100"/>
  <c r="G62" i="100"/>
  <c r="I62" i="100"/>
  <c r="D65" i="173"/>
  <c r="E65" i="173"/>
  <c r="AB62" i="100"/>
  <c r="S62" i="100"/>
  <c r="M62" i="100"/>
  <c r="O62" i="100"/>
  <c r="Y62" i="100"/>
  <c r="Q62" i="100"/>
  <c r="P62" i="100"/>
  <c r="AA62" i="100"/>
  <c r="U62" i="100"/>
  <c r="W62" i="100"/>
  <c r="N62" i="100"/>
  <c r="R62" i="100"/>
  <c r="X62" i="100"/>
  <c r="Z62" i="100"/>
  <c r="L62" i="100"/>
  <c r="K62" i="100"/>
  <c r="T62" i="100"/>
  <c r="V62" i="100"/>
  <c r="J62" i="100"/>
  <c r="B65" i="100"/>
  <c r="A66" i="100"/>
  <c r="C64" i="100"/>
  <c r="L64" i="173"/>
  <c r="T64" i="173"/>
  <c r="Q64" i="173"/>
  <c r="K64" i="173"/>
  <c r="S64" i="173"/>
  <c r="M64" i="173"/>
  <c r="Z64" i="173"/>
  <c r="P64" i="173"/>
  <c r="R64" i="173"/>
  <c r="X64" i="173"/>
  <c r="N64" i="173"/>
  <c r="AB64" i="173"/>
  <c r="U64" i="173"/>
  <c r="AA64" i="173"/>
  <c r="V64" i="173"/>
  <c r="Y64" i="173"/>
  <c r="W64" i="173"/>
  <c r="O64" i="173"/>
  <c r="J64" i="173"/>
  <c r="I64" i="173"/>
  <c r="F64" i="173"/>
  <c r="G64" i="173"/>
  <c r="H64" i="173"/>
  <c r="I60" i="172"/>
  <c r="I61" i="172"/>
  <c r="AE56" i="140"/>
  <c r="P60" i="172" l="1"/>
  <c r="S62" i="172"/>
  <c r="T62" i="172"/>
  <c r="R62" i="172"/>
  <c r="P61" i="172"/>
  <c r="K61" i="172"/>
  <c r="Q61" i="172"/>
  <c r="G63" i="172"/>
  <c r="H63" i="172" s="1"/>
  <c r="J63" i="172"/>
  <c r="L61" i="172"/>
  <c r="M61" i="172"/>
  <c r="O61" i="172"/>
  <c r="N62" i="172"/>
  <c r="C64" i="172"/>
  <c r="D64" i="172" s="1"/>
  <c r="B66" i="172"/>
  <c r="F66" i="172" s="1"/>
  <c r="E66" i="172" s="1"/>
  <c r="AC56" i="140"/>
  <c r="AA65" i="173"/>
  <c r="P65" i="173"/>
  <c r="S65" i="173"/>
  <c r="L65" i="173"/>
  <c r="O65" i="173"/>
  <c r="Z65" i="173"/>
  <c r="V65" i="173"/>
  <c r="T65" i="173"/>
  <c r="AB65" i="173"/>
  <c r="Y65" i="173"/>
  <c r="K65" i="173"/>
  <c r="Q65" i="173"/>
  <c r="R65" i="173"/>
  <c r="M65" i="173"/>
  <c r="W65" i="173"/>
  <c r="U65" i="173"/>
  <c r="N65" i="173"/>
  <c r="X65" i="173"/>
  <c r="J65" i="173"/>
  <c r="I63" i="100"/>
  <c r="G63" i="100"/>
  <c r="F63" i="100"/>
  <c r="H63" i="100"/>
  <c r="X63" i="100"/>
  <c r="L63" i="100"/>
  <c r="M63" i="100"/>
  <c r="U63" i="100"/>
  <c r="R63" i="100"/>
  <c r="W63" i="100"/>
  <c r="N63" i="100"/>
  <c r="S63" i="100"/>
  <c r="P63" i="100"/>
  <c r="O63" i="100"/>
  <c r="Y63" i="100"/>
  <c r="Q63" i="100"/>
  <c r="AB63" i="100"/>
  <c r="AA63" i="100"/>
  <c r="V63" i="100"/>
  <c r="K63" i="100"/>
  <c r="Z63" i="100"/>
  <c r="T63" i="100"/>
  <c r="J63" i="100"/>
  <c r="D64" i="100"/>
  <c r="E64" i="100"/>
  <c r="B68" i="173"/>
  <c r="A69" i="173"/>
  <c r="C67" i="173"/>
  <c r="C65" i="100"/>
  <c r="E66" i="173"/>
  <c r="D66" i="173"/>
  <c r="B66" i="100"/>
  <c r="A67" i="100"/>
  <c r="H65" i="173"/>
  <c r="G65" i="173"/>
  <c r="I65" i="173"/>
  <c r="F65" i="173"/>
  <c r="I62" i="172"/>
  <c r="AE57" i="140"/>
  <c r="R63" i="172" l="1"/>
  <c r="S63" i="172"/>
  <c r="T63" i="172"/>
  <c r="K62" i="172"/>
  <c r="O62" i="172"/>
  <c r="M62" i="172"/>
  <c r="L62" i="172"/>
  <c r="P62" i="172"/>
  <c r="J64" i="172"/>
  <c r="G64" i="172"/>
  <c r="H64" i="172" s="1"/>
  <c r="Q62" i="172"/>
  <c r="L63" i="172"/>
  <c r="B67" i="172"/>
  <c r="F67" i="172" s="1"/>
  <c r="E67" i="172" s="1"/>
  <c r="C65" i="172"/>
  <c r="D65" i="172" s="1"/>
  <c r="AC57" i="140"/>
  <c r="I66" i="173"/>
  <c r="G66" i="173"/>
  <c r="F66" i="173"/>
  <c r="H66" i="173"/>
  <c r="B67" i="100"/>
  <c r="A68" i="100"/>
  <c r="B69" i="173"/>
  <c r="A70" i="173"/>
  <c r="C66" i="100"/>
  <c r="D65" i="100"/>
  <c r="E65" i="100"/>
  <c r="C68" i="173"/>
  <c r="F64" i="100"/>
  <c r="I64" i="100"/>
  <c r="H64" i="100"/>
  <c r="G64" i="100"/>
  <c r="O64" i="100"/>
  <c r="N64" i="100"/>
  <c r="W64" i="100"/>
  <c r="S64" i="100"/>
  <c r="AA64" i="100"/>
  <c r="Q64" i="100"/>
  <c r="V64" i="100"/>
  <c r="K64" i="100"/>
  <c r="Z64" i="100"/>
  <c r="Y64" i="100"/>
  <c r="R64" i="100"/>
  <c r="AB64" i="100"/>
  <c r="L64" i="100"/>
  <c r="T64" i="100"/>
  <c r="M64" i="100"/>
  <c r="X64" i="100"/>
  <c r="P64" i="100"/>
  <c r="U64" i="100"/>
  <c r="J64" i="100"/>
  <c r="D67" i="173"/>
  <c r="E67" i="173"/>
  <c r="L66" i="173"/>
  <c r="S66" i="173"/>
  <c r="K66" i="173"/>
  <c r="M66" i="173"/>
  <c r="U66" i="173"/>
  <c r="Q66" i="173"/>
  <c r="V66" i="173"/>
  <c r="P66" i="173"/>
  <c r="Y66" i="173"/>
  <c r="X66" i="173"/>
  <c r="T66" i="173"/>
  <c r="O66" i="173"/>
  <c r="R66" i="173"/>
  <c r="W66" i="173"/>
  <c r="AB66" i="173"/>
  <c r="N66" i="173"/>
  <c r="Z66" i="173"/>
  <c r="AA66" i="173"/>
  <c r="J66" i="173"/>
  <c r="I64" i="172"/>
  <c r="AE58" i="140"/>
  <c r="I63" i="172"/>
  <c r="S64" i="172" l="1"/>
  <c r="R64" i="172"/>
  <c r="T64" i="172"/>
  <c r="O63" i="172"/>
  <c r="P64" i="172"/>
  <c r="P63" i="172"/>
  <c r="M64" i="172"/>
  <c r="L64" i="172"/>
  <c r="K64" i="172"/>
  <c r="O64" i="172"/>
  <c r="N64" i="172"/>
  <c r="M63" i="172"/>
  <c r="J65" i="172"/>
  <c r="G65" i="172"/>
  <c r="H65" i="172" s="1"/>
  <c r="K63" i="172"/>
  <c r="N63" i="172"/>
  <c r="Q63" i="172"/>
  <c r="Q64" i="172"/>
  <c r="B68" i="172"/>
  <c r="F68" i="172" s="1"/>
  <c r="E68" i="172" s="1"/>
  <c r="C66" i="172"/>
  <c r="D66" i="172" s="1"/>
  <c r="AC58" i="140"/>
  <c r="C69" i="173"/>
  <c r="B68" i="100"/>
  <c r="A69" i="100"/>
  <c r="E68" i="173"/>
  <c r="D68" i="173"/>
  <c r="C67" i="100"/>
  <c r="F65" i="100"/>
  <c r="H65" i="100"/>
  <c r="G65" i="100"/>
  <c r="I65" i="100"/>
  <c r="I67" i="173"/>
  <c r="G67" i="173"/>
  <c r="H67" i="173"/>
  <c r="F67" i="173"/>
  <c r="P65" i="100"/>
  <c r="Q65" i="100"/>
  <c r="Y65" i="100"/>
  <c r="U65" i="100"/>
  <c r="AB65" i="100"/>
  <c r="Z65" i="100"/>
  <c r="N65" i="100"/>
  <c r="W65" i="100"/>
  <c r="V65" i="100"/>
  <c r="M65" i="100"/>
  <c r="S65" i="100"/>
  <c r="O65" i="100"/>
  <c r="K65" i="100"/>
  <c r="X65" i="100"/>
  <c r="L65" i="100"/>
  <c r="AA65" i="100"/>
  <c r="R65" i="100"/>
  <c r="T65" i="100"/>
  <c r="J65" i="100"/>
  <c r="P67" i="173"/>
  <c r="N67" i="173"/>
  <c r="V67" i="173"/>
  <c r="L67" i="173"/>
  <c r="Y67" i="173"/>
  <c r="Q67" i="173"/>
  <c r="R67" i="173"/>
  <c r="O67" i="173"/>
  <c r="K67" i="173"/>
  <c r="Z67" i="173"/>
  <c r="M67" i="173"/>
  <c r="X67" i="173"/>
  <c r="AB67" i="173"/>
  <c r="AA67" i="173"/>
  <c r="W67" i="173"/>
  <c r="U67" i="173"/>
  <c r="S67" i="173"/>
  <c r="T67" i="173"/>
  <c r="J67" i="173"/>
  <c r="D66" i="100"/>
  <c r="E66" i="100"/>
  <c r="B70" i="173"/>
  <c r="A71" i="173"/>
  <c r="AE59" i="140"/>
  <c r="R65" i="172" l="1"/>
  <c r="S65" i="172"/>
  <c r="T65" i="172"/>
  <c r="G66" i="172"/>
  <c r="H66" i="172" s="1"/>
  <c r="M65" i="172"/>
  <c r="B69" i="172"/>
  <c r="F69" i="172" s="1"/>
  <c r="E69" i="172" s="1"/>
  <c r="C67" i="172"/>
  <c r="D67" i="172" s="1"/>
  <c r="AC59" i="140"/>
  <c r="C68" i="100"/>
  <c r="E69" i="173"/>
  <c r="D69" i="173"/>
  <c r="C70" i="173"/>
  <c r="G66" i="100"/>
  <c r="F66" i="100"/>
  <c r="H66" i="100"/>
  <c r="I66" i="100"/>
  <c r="D67" i="100"/>
  <c r="E67" i="100"/>
  <c r="T66" i="100"/>
  <c r="Z66" i="100"/>
  <c r="L66" i="100"/>
  <c r="P66" i="100"/>
  <c r="O66" i="100"/>
  <c r="N66" i="100"/>
  <c r="AB66" i="100"/>
  <c r="R66" i="100"/>
  <c r="AA66" i="100"/>
  <c r="K66" i="100"/>
  <c r="S66" i="100"/>
  <c r="Y66" i="100"/>
  <c r="M66" i="100"/>
  <c r="W66" i="100"/>
  <c r="U66" i="100"/>
  <c r="Q66" i="100"/>
  <c r="X66" i="100"/>
  <c r="V66" i="100"/>
  <c r="J66" i="100"/>
  <c r="X68" i="173"/>
  <c r="L68" i="173"/>
  <c r="AA68" i="173"/>
  <c r="N68" i="173"/>
  <c r="P68" i="173"/>
  <c r="AB68" i="173"/>
  <c r="Q68" i="173"/>
  <c r="T68" i="173"/>
  <c r="U68" i="173"/>
  <c r="R68" i="173"/>
  <c r="Y68" i="173"/>
  <c r="W68" i="173"/>
  <c r="M68" i="173"/>
  <c r="V68" i="173"/>
  <c r="K68" i="173"/>
  <c r="Z68" i="173"/>
  <c r="S68" i="173"/>
  <c r="O68" i="173"/>
  <c r="J68" i="173"/>
  <c r="B71" i="173"/>
  <c r="A72" i="173"/>
  <c r="F68" i="173"/>
  <c r="H68" i="173"/>
  <c r="I68" i="173"/>
  <c r="G68" i="173"/>
  <c r="B69" i="100"/>
  <c r="A70" i="100"/>
  <c r="I65" i="172"/>
  <c r="AE60" i="140"/>
  <c r="J66" i="172" l="1"/>
  <c r="P65" i="172"/>
  <c r="Q65" i="172"/>
  <c r="G67" i="172"/>
  <c r="H67" i="172" s="1"/>
  <c r="J67" i="172"/>
  <c r="O65" i="172"/>
  <c r="L65" i="172"/>
  <c r="N65" i="172"/>
  <c r="K65" i="172"/>
  <c r="C68" i="172"/>
  <c r="D68" i="172" s="1"/>
  <c r="B70" i="172"/>
  <c r="F70" i="172" s="1"/>
  <c r="E70" i="172" s="1"/>
  <c r="AC60" i="140"/>
  <c r="B72" i="173"/>
  <c r="A73" i="173"/>
  <c r="I67" i="100"/>
  <c r="G67" i="100"/>
  <c r="F67" i="100"/>
  <c r="H67" i="100"/>
  <c r="D68" i="100"/>
  <c r="E68" i="100"/>
  <c r="D70" i="173"/>
  <c r="E70" i="173"/>
  <c r="C71" i="173"/>
  <c r="Y67" i="100"/>
  <c r="N67" i="100"/>
  <c r="Z67" i="100"/>
  <c r="U67" i="100"/>
  <c r="L67" i="100"/>
  <c r="K67" i="100"/>
  <c r="T67" i="100"/>
  <c r="O67" i="100"/>
  <c r="X67" i="100"/>
  <c r="R67" i="100"/>
  <c r="P67" i="100"/>
  <c r="AB67" i="100"/>
  <c r="Q67" i="100"/>
  <c r="S67" i="100"/>
  <c r="V67" i="100"/>
  <c r="AA67" i="100"/>
  <c r="M67" i="100"/>
  <c r="W67" i="100"/>
  <c r="J67" i="100"/>
  <c r="Q69" i="173"/>
  <c r="X69" i="173"/>
  <c r="K69" i="173"/>
  <c r="W69" i="173"/>
  <c r="Z69" i="173"/>
  <c r="M69" i="173"/>
  <c r="S69" i="173"/>
  <c r="Y69" i="173"/>
  <c r="AB69" i="173"/>
  <c r="V69" i="173"/>
  <c r="T69" i="173"/>
  <c r="L69" i="173"/>
  <c r="P69" i="173"/>
  <c r="N69" i="173"/>
  <c r="U69" i="173"/>
  <c r="AA69" i="173"/>
  <c r="R69" i="173"/>
  <c r="O69" i="173"/>
  <c r="J69" i="173"/>
  <c r="I69" i="173"/>
  <c r="F69" i="173"/>
  <c r="H69" i="173"/>
  <c r="G69" i="173"/>
  <c r="B70" i="100"/>
  <c r="A71" i="100"/>
  <c r="C69" i="100"/>
  <c r="AE61" i="140"/>
  <c r="I66" i="172"/>
  <c r="R67" i="172" l="1"/>
  <c r="T67" i="172"/>
  <c r="S67" i="172"/>
  <c r="R66" i="172"/>
  <c r="S66" i="172"/>
  <c r="T66" i="172"/>
  <c r="N66" i="172"/>
  <c r="O66" i="172"/>
  <c r="K66" i="172"/>
  <c r="M66" i="172"/>
  <c r="L66" i="172"/>
  <c r="P66" i="172"/>
  <c r="Q66" i="172"/>
  <c r="K67" i="172"/>
  <c r="J68" i="172"/>
  <c r="G68" i="172"/>
  <c r="H68" i="172" s="1"/>
  <c r="B71" i="172"/>
  <c r="F71" i="172" s="1"/>
  <c r="E71" i="172" s="1"/>
  <c r="C69" i="172"/>
  <c r="D69" i="172" s="1"/>
  <c r="AC61" i="140"/>
  <c r="F70" i="173"/>
  <c r="G70" i="173"/>
  <c r="I70" i="173"/>
  <c r="H70" i="173"/>
  <c r="E71" i="173"/>
  <c r="D71" i="173"/>
  <c r="D69" i="100"/>
  <c r="E69" i="100"/>
  <c r="Z70" i="173"/>
  <c r="V70" i="173"/>
  <c r="T70" i="173"/>
  <c r="W70" i="173"/>
  <c r="U70" i="173"/>
  <c r="R70" i="173"/>
  <c r="S70" i="173"/>
  <c r="P70" i="173"/>
  <c r="Q70" i="173"/>
  <c r="Y70" i="173"/>
  <c r="X70" i="173"/>
  <c r="N70" i="173"/>
  <c r="AA70" i="173"/>
  <c r="AB70" i="173"/>
  <c r="L70" i="173"/>
  <c r="O70" i="173"/>
  <c r="M70" i="173"/>
  <c r="K70" i="173"/>
  <c r="J70" i="173"/>
  <c r="C70" i="100"/>
  <c r="B73" i="173"/>
  <c r="A74" i="173"/>
  <c r="B71" i="100"/>
  <c r="A72" i="100"/>
  <c r="H68" i="100"/>
  <c r="G68" i="100"/>
  <c r="I68" i="100"/>
  <c r="F68" i="100"/>
  <c r="C72" i="173"/>
  <c r="N68" i="100"/>
  <c r="W68" i="100"/>
  <c r="O68" i="100"/>
  <c r="Q68" i="100"/>
  <c r="P68" i="100"/>
  <c r="K68" i="100"/>
  <c r="AA68" i="100"/>
  <c r="X68" i="100"/>
  <c r="S68" i="100"/>
  <c r="Y68" i="100"/>
  <c r="M68" i="100"/>
  <c r="AB68" i="100"/>
  <c r="U68" i="100"/>
  <c r="Z68" i="100"/>
  <c r="V68" i="100"/>
  <c r="L68" i="100"/>
  <c r="R68" i="100"/>
  <c r="T68" i="100"/>
  <c r="J68" i="100"/>
  <c r="AE62" i="140"/>
  <c r="I67" i="172"/>
  <c r="R68" i="172" l="1"/>
  <c r="S68" i="172"/>
  <c r="T68" i="172"/>
  <c r="N67" i="172"/>
  <c r="M67" i="172"/>
  <c r="O67" i="172"/>
  <c r="L67" i="172"/>
  <c r="P67" i="172"/>
  <c r="J69" i="172"/>
  <c r="G69" i="172"/>
  <c r="H69" i="172" s="1"/>
  <c r="M68" i="172"/>
  <c r="Q67" i="172"/>
  <c r="B72" i="172"/>
  <c r="F72" i="172" s="1"/>
  <c r="E72" i="172" s="1"/>
  <c r="C70" i="172"/>
  <c r="D70" i="172" s="1"/>
  <c r="AC62" i="140"/>
  <c r="C71" i="100"/>
  <c r="H69" i="100"/>
  <c r="G69" i="100"/>
  <c r="I69" i="100"/>
  <c r="F69" i="100"/>
  <c r="E72" i="173"/>
  <c r="D72" i="173"/>
  <c r="B74" i="173"/>
  <c r="A75" i="173"/>
  <c r="Y69" i="100"/>
  <c r="T69" i="100"/>
  <c r="X69" i="100"/>
  <c r="N69" i="100"/>
  <c r="AB69" i="100"/>
  <c r="O69" i="100"/>
  <c r="R69" i="100"/>
  <c r="K69" i="100"/>
  <c r="U69" i="100"/>
  <c r="S69" i="100"/>
  <c r="M69" i="100"/>
  <c r="L69" i="100"/>
  <c r="Q69" i="100"/>
  <c r="P69" i="100"/>
  <c r="W69" i="100"/>
  <c r="V69" i="100"/>
  <c r="AA69" i="100"/>
  <c r="Z69" i="100"/>
  <c r="J69" i="100"/>
  <c r="C73" i="173"/>
  <c r="P71" i="173"/>
  <c r="U71" i="173"/>
  <c r="L71" i="173"/>
  <c r="K71" i="173"/>
  <c r="AB71" i="173"/>
  <c r="W71" i="173"/>
  <c r="R71" i="173"/>
  <c r="Y71" i="173"/>
  <c r="Q71" i="173"/>
  <c r="M71" i="173"/>
  <c r="N71" i="173"/>
  <c r="Z71" i="173"/>
  <c r="X71" i="173"/>
  <c r="V71" i="173"/>
  <c r="S71" i="173"/>
  <c r="T71" i="173"/>
  <c r="AA71" i="173"/>
  <c r="O71" i="173"/>
  <c r="J71" i="173"/>
  <c r="G71" i="173"/>
  <c r="H71" i="173"/>
  <c r="F71" i="173"/>
  <c r="I71" i="173"/>
  <c r="D70" i="100"/>
  <c r="E70" i="100"/>
  <c r="B72" i="100"/>
  <c r="A73" i="100"/>
  <c r="I68" i="172"/>
  <c r="AE63" i="140"/>
  <c r="T69" i="172" l="1"/>
  <c r="R69" i="172"/>
  <c r="S69" i="172"/>
  <c r="P68" i="172"/>
  <c r="K68" i="172"/>
  <c r="Q68" i="172"/>
  <c r="O68" i="172"/>
  <c r="J70" i="172"/>
  <c r="G70" i="172"/>
  <c r="H70" i="172" s="1"/>
  <c r="L68" i="172"/>
  <c r="N68" i="172"/>
  <c r="B73" i="172"/>
  <c r="F73" i="172" s="1"/>
  <c r="E73" i="172" s="1"/>
  <c r="C71" i="172"/>
  <c r="D71" i="172" s="1"/>
  <c r="AC63" i="140"/>
  <c r="B73" i="100"/>
  <c r="A74" i="100"/>
  <c r="C72" i="100"/>
  <c r="F70" i="100"/>
  <c r="G70" i="100"/>
  <c r="H70" i="100"/>
  <c r="I70" i="100"/>
  <c r="AB70" i="100"/>
  <c r="V70" i="100"/>
  <c r="R70" i="100"/>
  <c r="T70" i="100"/>
  <c r="Y70" i="100"/>
  <c r="Q70" i="100"/>
  <c r="U70" i="100"/>
  <c r="O70" i="100"/>
  <c r="X70" i="100"/>
  <c r="M70" i="100"/>
  <c r="P70" i="100"/>
  <c r="N70" i="100"/>
  <c r="L70" i="100"/>
  <c r="S70" i="100"/>
  <c r="K70" i="100"/>
  <c r="AA70" i="100"/>
  <c r="Z70" i="100"/>
  <c r="W70" i="100"/>
  <c r="J70" i="100"/>
  <c r="B75" i="173"/>
  <c r="A76" i="173"/>
  <c r="E73" i="173"/>
  <c r="D73" i="173"/>
  <c r="C74" i="173"/>
  <c r="D71" i="100"/>
  <c r="E71" i="100"/>
  <c r="AA72" i="173"/>
  <c r="AB72" i="173"/>
  <c r="R72" i="173"/>
  <c r="Q72" i="173"/>
  <c r="X72" i="173"/>
  <c r="Y72" i="173"/>
  <c r="Z72" i="173"/>
  <c r="W72" i="173"/>
  <c r="S72" i="173"/>
  <c r="L72" i="173"/>
  <c r="M72" i="173"/>
  <c r="O72" i="173"/>
  <c r="V72" i="173"/>
  <c r="T72" i="173"/>
  <c r="N72" i="173"/>
  <c r="K72" i="173"/>
  <c r="P72" i="173"/>
  <c r="U72" i="173"/>
  <c r="J72" i="173"/>
  <c r="F72" i="173"/>
  <c r="I72" i="173"/>
  <c r="G72" i="173"/>
  <c r="H72" i="173"/>
  <c r="I69" i="172"/>
  <c r="AE64" i="140"/>
  <c r="S70" i="172" l="1"/>
  <c r="T70" i="172"/>
  <c r="R70" i="172"/>
  <c r="P69" i="172"/>
  <c r="G71" i="172"/>
  <c r="H71" i="172" s="1"/>
  <c r="Q69" i="172"/>
  <c r="M69" i="172"/>
  <c r="L69" i="172"/>
  <c r="K69" i="172"/>
  <c r="N69" i="172"/>
  <c r="N70" i="172"/>
  <c r="O69" i="172"/>
  <c r="C72" i="172"/>
  <c r="D72" i="172" s="1"/>
  <c r="B74" i="172"/>
  <c r="F74" i="172" s="1"/>
  <c r="E74" i="172" s="1"/>
  <c r="AC64" i="140"/>
  <c r="D74" i="173"/>
  <c r="E74" i="173"/>
  <c r="D72" i="100"/>
  <c r="E72" i="100"/>
  <c r="Q73" i="173"/>
  <c r="AB73" i="173"/>
  <c r="AA73" i="173"/>
  <c r="T73" i="173"/>
  <c r="L73" i="173"/>
  <c r="M73" i="173"/>
  <c r="X73" i="173"/>
  <c r="W73" i="173"/>
  <c r="S73" i="173"/>
  <c r="N73" i="173"/>
  <c r="Y73" i="173"/>
  <c r="Z73" i="173"/>
  <c r="K73" i="173"/>
  <c r="P73" i="173"/>
  <c r="O73" i="173"/>
  <c r="R73" i="173"/>
  <c r="V73" i="173"/>
  <c r="U73" i="173"/>
  <c r="J73" i="173"/>
  <c r="F71" i="100"/>
  <c r="H71" i="100"/>
  <c r="I71" i="100"/>
  <c r="G71" i="100"/>
  <c r="H73" i="173"/>
  <c r="I73" i="173"/>
  <c r="G73" i="173"/>
  <c r="F73" i="173"/>
  <c r="B74" i="100"/>
  <c r="A75" i="100"/>
  <c r="L71" i="100"/>
  <c r="Q71" i="100"/>
  <c r="W71" i="100"/>
  <c r="U71" i="100"/>
  <c r="V71" i="100"/>
  <c r="P71" i="100"/>
  <c r="X71" i="100"/>
  <c r="Y71" i="100"/>
  <c r="O71" i="100"/>
  <c r="N71" i="100"/>
  <c r="K71" i="100"/>
  <c r="AA71" i="100"/>
  <c r="S71" i="100"/>
  <c r="M71" i="100"/>
  <c r="Z71" i="100"/>
  <c r="R71" i="100"/>
  <c r="T71" i="100"/>
  <c r="AB71" i="100"/>
  <c r="J71" i="100"/>
  <c r="C73" i="100"/>
  <c r="B76" i="173"/>
  <c r="A77" i="173"/>
  <c r="C75" i="173"/>
  <c r="I70" i="172"/>
  <c r="AE65" i="140"/>
  <c r="J71" i="172" l="1"/>
  <c r="O70" i="172"/>
  <c r="L70" i="172"/>
  <c r="P70" i="172"/>
  <c r="G72" i="172"/>
  <c r="H72" i="172" s="1"/>
  <c r="M70" i="172"/>
  <c r="Q70" i="172"/>
  <c r="K70" i="172"/>
  <c r="C73" i="172"/>
  <c r="D73" i="172" s="1"/>
  <c r="B75" i="172"/>
  <c r="F75" i="172" s="1"/>
  <c r="E75" i="172" s="1"/>
  <c r="AC65" i="140"/>
  <c r="B75" i="100"/>
  <c r="A76" i="100"/>
  <c r="B77" i="173"/>
  <c r="A78" i="173"/>
  <c r="I72" i="100"/>
  <c r="G72" i="100"/>
  <c r="F72" i="100"/>
  <c r="H72" i="100"/>
  <c r="R72" i="100"/>
  <c r="M72" i="100"/>
  <c r="P72" i="100"/>
  <c r="V72" i="100"/>
  <c r="Z72" i="100"/>
  <c r="AB72" i="100"/>
  <c r="K72" i="100"/>
  <c r="S72" i="100"/>
  <c r="U72" i="100"/>
  <c r="AA72" i="100"/>
  <c r="X72" i="100"/>
  <c r="W72" i="100"/>
  <c r="Y72" i="100"/>
  <c r="T72" i="100"/>
  <c r="O72" i="100"/>
  <c r="Q72" i="100"/>
  <c r="L72" i="100"/>
  <c r="N72" i="100"/>
  <c r="J72" i="100"/>
  <c r="E75" i="173"/>
  <c r="D75" i="173"/>
  <c r="C74" i="100"/>
  <c r="D73" i="100"/>
  <c r="E73" i="100"/>
  <c r="H74" i="173"/>
  <c r="G74" i="173"/>
  <c r="I74" i="173"/>
  <c r="F74" i="173"/>
  <c r="C76" i="173"/>
  <c r="Z74" i="173"/>
  <c r="V74" i="173"/>
  <c r="L74" i="173"/>
  <c r="M74" i="173"/>
  <c r="N74" i="173"/>
  <c r="Y74" i="173"/>
  <c r="AA74" i="173"/>
  <c r="U74" i="173"/>
  <c r="W74" i="173"/>
  <c r="K74" i="173"/>
  <c r="O74" i="173"/>
  <c r="AB74" i="173"/>
  <c r="X74" i="173"/>
  <c r="Q74" i="173"/>
  <c r="T74" i="173"/>
  <c r="P74" i="173"/>
  <c r="R74" i="173"/>
  <c r="S74" i="173"/>
  <c r="J74" i="173"/>
  <c r="AE66" i="140"/>
  <c r="I71" i="172"/>
  <c r="R71" i="172" l="1"/>
  <c r="S71" i="172"/>
  <c r="T71" i="172"/>
  <c r="K71" i="172"/>
  <c r="O71" i="172"/>
  <c r="N71" i="172"/>
  <c r="L71" i="172"/>
  <c r="Q71" i="172"/>
  <c r="M71" i="172"/>
  <c r="P71" i="172"/>
  <c r="J72" i="172"/>
  <c r="G73" i="172"/>
  <c r="H73" i="172" s="1"/>
  <c r="J73" i="172"/>
  <c r="C74" i="172"/>
  <c r="D74" i="172" s="1"/>
  <c r="B76" i="172"/>
  <c r="F76" i="172" s="1"/>
  <c r="E76" i="172" s="1"/>
  <c r="AC66" i="140"/>
  <c r="B78" i="173"/>
  <c r="A79" i="173"/>
  <c r="D74" i="100"/>
  <c r="E74" i="100"/>
  <c r="C77" i="173"/>
  <c r="E76" i="173"/>
  <c r="D76" i="173"/>
  <c r="M75" i="173"/>
  <c r="AB75" i="173"/>
  <c r="S75" i="173"/>
  <c r="L75" i="173"/>
  <c r="W75" i="173"/>
  <c r="AA75" i="173"/>
  <c r="X75" i="173"/>
  <c r="N75" i="173"/>
  <c r="Z75" i="173"/>
  <c r="K75" i="173"/>
  <c r="R75" i="173"/>
  <c r="Y75" i="173"/>
  <c r="Q75" i="173"/>
  <c r="U75" i="173"/>
  <c r="V75" i="173"/>
  <c r="P75" i="173"/>
  <c r="O75" i="173"/>
  <c r="T75" i="173"/>
  <c r="J75" i="173"/>
  <c r="B76" i="100"/>
  <c r="A77" i="100"/>
  <c r="H75" i="173"/>
  <c r="G75" i="173"/>
  <c r="I75" i="173"/>
  <c r="F75" i="173"/>
  <c r="G73" i="100"/>
  <c r="F73" i="100"/>
  <c r="I73" i="100"/>
  <c r="H73" i="100"/>
  <c r="C75" i="100"/>
  <c r="Q73" i="100"/>
  <c r="Y73" i="100"/>
  <c r="P73" i="100"/>
  <c r="M73" i="100"/>
  <c r="S73" i="100"/>
  <c r="Z73" i="100"/>
  <c r="L73" i="100"/>
  <c r="T73" i="100"/>
  <c r="N73" i="100"/>
  <c r="K73" i="100"/>
  <c r="V73" i="100"/>
  <c r="O73" i="100"/>
  <c r="AB73" i="100"/>
  <c r="AA73" i="100"/>
  <c r="R73" i="100"/>
  <c r="X73" i="100"/>
  <c r="U73" i="100"/>
  <c r="W73" i="100"/>
  <c r="J73" i="100"/>
  <c r="AE67" i="140"/>
  <c r="I72" i="172"/>
  <c r="R73" i="172" l="1"/>
  <c r="S73" i="172"/>
  <c r="T73" i="172"/>
  <c r="S72" i="172"/>
  <c r="R72" i="172"/>
  <c r="T72" i="172"/>
  <c r="Q72" i="172"/>
  <c r="N72" i="172"/>
  <c r="L72" i="172"/>
  <c r="M72" i="172"/>
  <c r="K72" i="172"/>
  <c r="P72" i="172"/>
  <c r="O72" i="172"/>
  <c r="G74" i="172"/>
  <c r="H74" i="172" s="1"/>
  <c r="J74" i="172"/>
  <c r="M73" i="172"/>
  <c r="B77" i="172"/>
  <c r="F77" i="172" s="1"/>
  <c r="E77" i="172" s="1"/>
  <c r="C75" i="172"/>
  <c r="D75" i="172" s="1"/>
  <c r="AC67" i="140"/>
  <c r="B77" i="100"/>
  <c r="A78" i="100"/>
  <c r="I74" i="100"/>
  <c r="H74" i="100"/>
  <c r="G74" i="100"/>
  <c r="F74" i="100"/>
  <c r="C76" i="100"/>
  <c r="R74" i="100"/>
  <c r="Q74" i="100"/>
  <c r="Z74" i="100"/>
  <c r="U74" i="100"/>
  <c r="AA74" i="100"/>
  <c r="W74" i="100"/>
  <c r="S74" i="100"/>
  <c r="M74" i="100"/>
  <c r="P74" i="100"/>
  <c r="O74" i="100"/>
  <c r="X74" i="100"/>
  <c r="V74" i="100"/>
  <c r="T74" i="100"/>
  <c r="L74" i="100"/>
  <c r="K74" i="100"/>
  <c r="N74" i="100"/>
  <c r="AB74" i="100"/>
  <c r="Y74" i="100"/>
  <c r="J74" i="100"/>
  <c r="B79" i="173"/>
  <c r="A80" i="173"/>
  <c r="M76" i="173"/>
  <c r="P76" i="173"/>
  <c r="U76" i="173"/>
  <c r="S76" i="173"/>
  <c r="Q76" i="173"/>
  <c r="AA76" i="173"/>
  <c r="T76" i="173"/>
  <c r="Y76" i="173"/>
  <c r="R76" i="173"/>
  <c r="V76" i="173"/>
  <c r="X76" i="173"/>
  <c r="AB76" i="173"/>
  <c r="Z76" i="173"/>
  <c r="K76" i="173"/>
  <c r="N76" i="173"/>
  <c r="O76" i="173"/>
  <c r="L76" i="173"/>
  <c r="W76" i="173"/>
  <c r="J76" i="173"/>
  <c r="C78" i="173"/>
  <c r="H76" i="173"/>
  <c r="F76" i="173"/>
  <c r="I76" i="173"/>
  <c r="G76" i="173"/>
  <c r="D75" i="100"/>
  <c r="E75" i="100"/>
  <c r="E77" i="173"/>
  <c r="D77" i="173"/>
  <c r="AE68" i="140"/>
  <c r="I73" i="172"/>
  <c r="R74" i="172" l="1"/>
  <c r="S74" i="172"/>
  <c r="T74" i="172"/>
  <c r="P73" i="172"/>
  <c r="L73" i="172"/>
  <c r="Q73" i="172"/>
  <c r="J75" i="172"/>
  <c r="G75" i="172"/>
  <c r="H75" i="172" s="1"/>
  <c r="N73" i="172"/>
  <c r="O73" i="172"/>
  <c r="M74" i="172"/>
  <c r="K73" i="172"/>
  <c r="B78" i="172"/>
  <c r="F78" i="172" s="1"/>
  <c r="E78" i="172" s="1"/>
  <c r="C76" i="172"/>
  <c r="D76" i="172" s="1"/>
  <c r="AC68" i="140"/>
  <c r="E78" i="173"/>
  <c r="D78" i="173"/>
  <c r="L75" i="100"/>
  <c r="K75" i="100"/>
  <c r="X75" i="100"/>
  <c r="Y75" i="100"/>
  <c r="T75" i="100"/>
  <c r="Z75" i="100"/>
  <c r="N75" i="100"/>
  <c r="R75" i="100"/>
  <c r="AB75" i="100"/>
  <c r="Q75" i="100"/>
  <c r="AA75" i="100"/>
  <c r="U75" i="100"/>
  <c r="M75" i="100"/>
  <c r="O75" i="100"/>
  <c r="S75" i="100"/>
  <c r="W75" i="100"/>
  <c r="V75" i="100"/>
  <c r="P75" i="100"/>
  <c r="J75" i="100"/>
  <c r="S77" i="173"/>
  <c r="N77" i="173"/>
  <c r="U77" i="173"/>
  <c r="R77" i="173"/>
  <c r="Q77" i="173"/>
  <c r="M77" i="173"/>
  <c r="K77" i="173"/>
  <c r="Z77" i="173"/>
  <c r="O77" i="173"/>
  <c r="T77" i="173"/>
  <c r="L77" i="173"/>
  <c r="AA77" i="173"/>
  <c r="X77" i="173"/>
  <c r="Y77" i="173"/>
  <c r="V77" i="173"/>
  <c r="W77" i="173"/>
  <c r="AB77" i="173"/>
  <c r="P77" i="173"/>
  <c r="J77" i="173"/>
  <c r="H77" i="173"/>
  <c r="G77" i="173"/>
  <c r="F77" i="173"/>
  <c r="I77" i="173"/>
  <c r="G75" i="100"/>
  <c r="F75" i="100"/>
  <c r="I75" i="100"/>
  <c r="H75" i="100"/>
  <c r="B80" i="173"/>
  <c r="A81" i="173"/>
  <c r="D76" i="100"/>
  <c r="E76" i="100"/>
  <c r="B78" i="100"/>
  <c r="A79" i="100"/>
  <c r="C79" i="173"/>
  <c r="C77" i="100"/>
  <c r="I74" i="172"/>
  <c r="AE69" i="140"/>
  <c r="R75" i="172" l="1"/>
  <c r="T75" i="172"/>
  <c r="S75" i="172"/>
  <c r="N74" i="172"/>
  <c r="P74" i="172"/>
  <c r="O75" i="172"/>
  <c r="G76" i="172"/>
  <c r="H76" i="172" s="1"/>
  <c r="Q74" i="172"/>
  <c r="L74" i="172"/>
  <c r="K74" i="172"/>
  <c r="O74" i="172"/>
  <c r="B79" i="172"/>
  <c r="F79" i="172" s="1"/>
  <c r="E79" i="172" s="1"/>
  <c r="C77" i="172"/>
  <c r="D77" i="172" s="1"/>
  <c r="AC69" i="140"/>
  <c r="B81" i="173"/>
  <c r="A82" i="173"/>
  <c r="L76" i="100"/>
  <c r="K76" i="100"/>
  <c r="S76" i="100"/>
  <c r="X76" i="100"/>
  <c r="T76" i="100"/>
  <c r="N76" i="100"/>
  <c r="M76" i="100"/>
  <c r="R76" i="100"/>
  <c r="V76" i="100"/>
  <c r="Q76" i="100"/>
  <c r="O76" i="100"/>
  <c r="P76" i="100"/>
  <c r="Y76" i="100"/>
  <c r="AB76" i="100"/>
  <c r="W76" i="100"/>
  <c r="AA76" i="100"/>
  <c r="Z76" i="100"/>
  <c r="U76" i="100"/>
  <c r="J76" i="100"/>
  <c r="D79" i="173"/>
  <c r="E79" i="173"/>
  <c r="C80" i="173"/>
  <c r="P78" i="173"/>
  <c r="S78" i="173"/>
  <c r="M78" i="173"/>
  <c r="R78" i="173"/>
  <c r="Y78" i="173"/>
  <c r="AA78" i="173"/>
  <c r="U78" i="173"/>
  <c r="X78" i="173"/>
  <c r="T78" i="173"/>
  <c r="K78" i="173"/>
  <c r="L78" i="173"/>
  <c r="AB78" i="173"/>
  <c r="O78" i="173"/>
  <c r="Q78" i="173"/>
  <c r="W78" i="173"/>
  <c r="N78" i="173"/>
  <c r="Z78" i="173"/>
  <c r="V78" i="173"/>
  <c r="J78" i="173"/>
  <c r="B79" i="100"/>
  <c r="A80" i="100"/>
  <c r="C78" i="100"/>
  <c r="G78" i="173"/>
  <c r="H78" i="173"/>
  <c r="I78" i="173"/>
  <c r="F78" i="173"/>
  <c r="D77" i="100"/>
  <c r="E77" i="100"/>
  <c r="I76" i="100"/>
  <c r="G76" i="100"/>
  <c r="F76" i="100"/>
  <c r="H76" i="100"/>
  <c r="AE70" i="140"/>
  <c r="I75" i="172"/>
  <c r="J76" i="172" l="1"/>
  <c r="L75" i="172"/>
  <c r="K75" i="172"/>
  <c r="N75" i="172"/>
  <c r="M75" i="172"/>
  <c r="P75" i="172"/>
  <c r="J77" i="172"/>
  <c r="G77" i="172"/>
  <c r="H77" i="172" s="1"/>
  <c r="Q75" i="172"/>
  <c r="C78" i="172"/>
  <c r="D78" i="172" s="1"/>
  <c r="B80" i="172"/>
  <c r="F80" i="172" s="1"/>
  <c r="E80" i="172" s="1"/>
  <c r="AC70" i="140"/>
  <c r="AA77" i="100"/>
  <c r="R77" i="100"/>
  <c r="V77" i="100"/>
  <c r="S77" i="100"/>
  <c r="L77" i="100"/>
  <c r="T77" i="100"/>
  <c r="P77" i="100"/>
  <c r="Y77" i="100"/>
  <c r="K77" i="100"/>
  <c r="M77" i="100"/>
  <c r="Q77" i="100"/>
  <c r="U77" i="100"/>
  <c r="X77" i="100"/>
  <c r="Z77" i="100"/>
  <c r="N77" i="100"/>
  <c r="AB77" i="100"/>
  <c r="O77" i="100"/>
  <c r="W77" i="100"/>
  <c r="J77" i="100"/>
  <c r="E80" i="173"/>
  <c r="D80" i="173"/>
  <c r="D78" i="100"/>
  <c r="E78" i="100"/>
  <c r="B80" i="100"/>
  <c r="A81" i="100"/>
  <c r="F79" i="173"/>
  <c r="I79" i="173"/>
  <c r="H79" i="173"/>
  <c r="G79" i="173"/>
  <c r="C79" i="100"/>
  <c r="M79" i="173"/>
  <c r="U79" i="173"/>
  <c r="AB79" i="173"/>
  <c r="R79" i="173"/>
  <c r="Y79" i="173"/>
  <c r="X79" i="173"/>
  <c r="Q79" i="173"/>
  <c r="K79" i="173"/>
  <c r="S79" i="173"/>
  <c r="T79" i="173"/>
  <c r="V79" i="173"/>
  <c r="P79" i="173"/>
  <c r="O79" i="173"/>
  <c r="N79" i="173"/>
  <c r="Z79" i="173"/>
  <c r="L79" i="173"/>
  <c r="W79" i="173"/>
  <c r="AA79" i="173"/>
  <c r="J79" i="173"/>
  <c r="B82" i="173"/>
  <c r="A83" i="173"/>
  <c r="C81" i="173"/>
  <c r="H77" i="100"/>
  <c r="F77" i="100"/>
  <c r="I77" i="100"/>
  <c r="G77" i="100"/>
  <c r="I76" i="172"/>
  <c r="AE71" i="140"/>
  <c r="T77" i="172" l="1"/>
  <c r="R77" i="172"/>
  <c r="S77" i="172"/>
  <c r="R76" i="172"/>
  <c r="S76" i="172"/>
  <c r="T76" i="172"/>
  <c r="N76" i="172"/>
  <c r="L76" i="172"/>
  <c r="M76" i="172"/>
  <c r="Q76" i="172"/>
  <c r="O76" i="172"/>
  <c r="K76" i="172"/>
  <c r="P76" i="172"/>
  <c r="M77" i="172"/>
  <c r="G78" i="172"/>
  <c r="H78" i="172" s="1"/>
  <c r="J78" i="172"/>
  <c r="B81" i="172"/>
  <c r="F81" i="172" s="1"/>
  <c r="E81" i="172" s="1"/>
  <c r="C79" i="172"/>
  <c r="D79" i="172" s="1"/>
  <c r="AC71" i="140"/>
  <c r="D79" i="100"/>
  <c r="E79" i="100"/>
  <c r="B81" i="100"/>
  <c r="A82" i="100"/>
  <c r="C80" i="100"/>
  <c r="F78" i="100"/>
  <c r="I78" i="100"/>
  <c r="G78" i="100"/>
  <c r="H78" i="100"/>
  <c r="R78" i="100"/>
  <c r="Z78" i="100"/>
  <c r="N78" i="100"/>
  <c r="P78" i="100"/>
  <c r="U78" i="100"/>
  <c r="V78" i="100"/>
  <c r="W78" i="100"/>
  <c r="Y78" i="100"/>
  <c r="L78" i="100"/>
  <c r="M78" i="100"/>
  <c r="AB78" i="100"/>
  <c r="X78" i="100"/>
  <c r="O78" i="100"/>
  <c r="T78" i="100"/>
  <c r="Q78" i="100"/>
  <c r="AA78" i="100"/>
  <c r="K78" i="100"/>
  <c r="S78" i="100"/>
  <c r="J78" i="100"/>
  <c r="E81" i="173"/>
  <c r="D81" i="173"/>
  <c r="B83" i="173"/>
  <c r="A84" i="173"/>
  <c r="AA80" i="173"/>
  <c r="AB80" i="173"/>
  <c r="V80" i="173"/>
  <c r="Z80" i="173"/>
  <c r="X80" i="173"/>
  <c r="Q80" i="173"/>
  <c r="S80" i="173"/>
  <c r="O80" i="173"/>
  <c r="R80" i="173"/>
  <c r="W80" i="173"/>
  <c r="L80" i="173"/>
  <c r="M80" i="173"/>
  <c r="U80" i="173"/>
  <c r="N80" i="173"/>
  <c r="T80" i="173"/>
  <c r="K80" i="173"/>
  <c r="P80" i="173"/>
  <c r="Y80" i="173"/>
  <c r="J80" i="173"/>
  <c r="C82" i="173"/>
  <c r="G80" i="173"/>
  <c r="F80" i="173"/>
  <c r="H80" i="173"/>
  <c r="I80" i="173"/>
  <c r="AE72" i="140"/>
  <c r="I77" i="172"/>
  <c r="S78" i="172" l="1"/>
  <c r="T78" i="172"/>
  <c r="R78" i="172"/>
  <c r="K77" i="172"/>
  <c r="N77" i="172"/>
  <c r="L77" i="172"/>
  <c r="O77" i="172"/>
  <c r="P77" i="172"/>
  <c r="N78" i="172"/>
  <c r="J79" i="172"/>
  <c r="G79" i="172"/>
  <c r="H79" i="172" s="1"/>
  <c r="Q77" i="172"/>
  <c r="B82" i="172"/>
  <c r="F82" i="172" s="1"/>
  <c r="E82" i="172" s="1"/>
  <c r="C80" i="172"/>
  <c r="D80" i="172" s="1"/>
  <c r="AC72" i="140"/>
  <c r="R81" i="173"/>
  <c r="Q81" i="173"/>
  <c r="W81" i="173"/>
  <c r="AB81" i="173"/>
  <c r="N81" i="173"/>
  <c r="U81" i="173"/>
  <c r="V81" i="173"/>
  <c r="AA81" i="173"/>
  <c r="Z81" i="173"/>
  <c r="K81" i="173"/>
  <c r="O81" i="173"/>
  <c r="Y81" i="173"/>
  <c r="P81" i="173"/>
  <c r="T81" i="173"/>
  <c r="S81" i="173"/>
  <c r="L81" i="173"/>
  <c r="X81" i="173"/>
  <c r="M81" i="173"/>
  <c r="J81" i="173"/>
  <c r="H79" i="100"/>
  <c r="G79" i="100"/>
  <c r="F79" i="100"/>
  <c r="I79" i="100"/>
  <c r="S79" i="100"/>
  <c r="L79" i="100"/>
  <c r="Z79" i="100"/>
  <c r="U79" i="100"/>
  <c r="W79" i="100"/>
  <c r="V79" i="100"/>
  <c r="AA79" i="100"/>
  <c r="Y79" i="100"/>
  <c r="X79" i="100"/>
  <c r="R79" i="100"/>
  <c r="M79" i="100"/>
  <c r="N79" i="100"/>
  <c r="T79" i="100"/>
  <c r="O79" i="100"/>
  <c r="K79" i="100"/>
  <c r="Q79" i="100"/>
  <c r="AB79" i="100"/>
  <c r="P79" i="100"/>
  <c r="J79" i="100"/>
  <c r="D80" i="100"/>
  <c r="E80" i="100"/>
  <c r="B84" i="173"/>
  <c r="A85" i="173"/>
  <c r="B82" i="100"/>
  <c r="A83" i="100"/>
  <c r="F81" i="173"/>
  <c r="H81" i="173"/>
  <c r="G81" i="173"/>
  <c r="I81" i="173"/>
  <c r="D82" i="173"/>
  <c r="E82" i="173"/>
  <c r="C83" i="173"/>
  <c r="C81" i="100"/>
  <c r="I78" i="172"/>
  <c r="AE73" i="140"/>
  <c r="R79" i="172" l="1"/>
  <c r="S79" i="172"/>
  <c r="T79" i="172"/>
  <c r="O78" i="172"/>
  <c r="K78" i="172"/>
  <c r="M78" i="172"/>
  <c r="L78" i="172"/>
  <c r="P78" i="172"/>
  <c r="G80" i="172"/>
  <c r="H80" i="172" s="1"/>
  <c r="J80" i="172"/>
  <c r="N79" i="172"/>
  <c r="Q78" i="172"/>
  <c r="B83" i="172"/>
  <c r="F83" i="172" s="1"/>
  <c r="E83" i="172" s="1"/>
  <c r="C81" i="172"/>
  <c r="D81" i="172" s="1"/>
  <c r="AC73" i="140"/>
  <c r="C84" i="173"/>
  <c r="D81" i="100"/>
  <c r="E81" i="100"/>
  <c r="D83" i="173"/>
  <c r="E83" i="173"/>
  <c r="B83" i="100"/>
  <c r="A84" i="100"/>
  <c r="F82" i="173"/>
  <c r="H82" i="173"/>
  <c r="I82" i="173"/>
  <c r="G82" i="173"/>
  <c r="C82" i="100"/>
  <c r="F80" i="100"/>
  <c r="G80" i="100"/>
  <c r="H80" i="100"/>
  <c r="I80" i="100"/>
  <c r="R80" i="100"/>
  <c r="S80" i="100"/>
  <c r="V80" i="100"/>
  <c r="Q80" i="100"/>
  <c r="AA80" i="100"/>
  <c r="Z80" i="100"/>
  <c r="W80" i="100"/>
  <c r="K80" i="100"/>
  <c r="O80" i="100"/>
  <c r="AB80" i="100"/>
  <c r="P80" i="100"/>
  <c r="N80" i="100"/>
  <c r="X80" i="100"/>
  <c r="U80" i="100"/>
  <c r="L80" i="100"/>
  <c r="Y80" i="100"/>
  <c r="M80" i="100"/>
  <c r="T80" i="100"/>
  <c r="J80" i="100"/>
  <c r="L82" i="173"/>
  <c r="AA82" i="173"/>
  <c r="K82" i="173"/>
  <c r="Z82" i="173"/>
  <c r="T82" i="173"/>
  <c r="W82" i="173"/>
  <c r="M82" i="173"/>
  <c r="P82" i="173"/>
  <c r="Y82" i="173"/>
  <c r="S82" i="173"/>
  <c r="U82" i="173"/>
  <c r="R82" i="173"/>
  <c r="N82" i="173"/>
  <c r="X82" i="173"/>
  <c r="AB82" i="173"/>
  <c r="O82" i="173"/>
  <c r="V82" i="173"/>
  <c r="Q82" i="173"/>
  <c r="J82" i="173"/>
  <c r="B85" i="173"/>
  <c r="A86" i="173"/>
  <c r="AE74" i="140"/>
  <c r="I79" i="172"/>
  <c r="S80" i="172" l="1"/>
  <c r="R80" i="172"/>
  <c r="T80" i="172"/>
  <c r="P79" i="172"/>
  <c r="O80" i="172"/>
  <c r="O79" i="172"/>
  <c r="Q79" i="172"/>
  <c r="M79" i="172"/>
  <c r="K79" i="172"/>
  <c r="J81" i="172"/>
  <c r="G81" i="172"/>
  <c r="H81" i="172" s="1"/>
  <c r="L79" i="172"/>
  <c r="B84" i="172"/>
  <c r="F84" i="172" s="1"/>
  <c r="E84" i="172" s="1"/>
  <c r="C82" i="172"/>
  <c r="D82" i="172" s="1"/>
  <c r="AC74" i="140"/>
  <c r="C83" i="100"/>
  <c r="F83" i="173"/>
  <c r="H83" i="173"/>
  <c r="G83" i="173"/>
  <c r="I83" i="173"/>
  <c r="T83" i="173"/>
  <c r="Y83" i="173"/>
  <c r="AB83" i="173"/>
  <c r="X83" i="173"/>
  <c r="S83" i="173"/>
  <c r="N83" i="173"/>
  <c r="O83" i="173"/>
  <c r="R83" i="173"/>
  <c r="P83" i="173"/>
  <c r="L83" i="173"/>
  <c r="M83" i="173"/>
  <c r="AA83" i="173"/>
  <c r="V83" i="173"/>
  <c r="W83" i="173"/>
  <c r="K83" i="173"/>
  <c r="U83" i="173"/>
  <c r="Z83" i="173"/>
  <c r="Q83" i="173"/>
  <c r="J83" i="173"/>
  <c r="G81" i="100"/>
  <c r="I81" i="100"/>
  <c r="F81" i="100"/>
  <c r="H81" i="100"/>
  <c r="U81" i="100"/>
  <c r="AA81" i="100"/>
  <c r="X81" i="100"/>
  <c r="V81" i="100"/>
  <c r="S81" i="100"/>
  <c r="R81" i="100"/>
  <c r="K81" i="100"/>
  <c r="L81" i="100"/>
  <c r="Q81" i="100"/>
  <c r="T81" i="100"/>
  <c r="W81" i="100"/>
  <c r="Z81" i="100"/>
  <c r="AB81" i="100"/>
  <c r="P81" i="100"/>
  <c r="Y81" i="100"/>
  <c r="N81" i="100"/>
  <c r="M81" i="100"/>
  <c r="O81" i="100"/>
  <c r="J81" i="100"/>
  <c r="C85" i="173"/>
  <c r="D82" i="100"/>
  <c r="E82" i="100"/>
  <c r="B86" i="173"/>
  <c r="A87" i="173"/>
  <c r="D84" i="173"/>
  <c r="E84" i="173"/>
  <c r="B84" i="100"/>
  <c r="A85" i="100"/>
  <c r="AE75" i="140"/>
  <c r="I80" i="172"/>
  <c r="R81" i="172" l="1"/>
  <c r="S81" i="172"/>
  <c r="T81" i="172"/>
  <c r="N80" i="172"/>
  <c r="M80" i="172"/>
  <c r="K80" i="172"/>
  <c r="P80" i="172"/>
  <c r="J82" i="172"/>
  <c r="G82" i="172"/>
  <c r="H82" i="172" s="1"/>
  <c r="O81" i="172"/>
  <c r="L80" i="172"/>
  <c r="Q80" i="172"/>
  <c r="B85" i="172"/>
  <c r="F85" i="172" s="1"/>
  <c r="E85" i="172" s="1"/>
  <c r="C83" i="172"/>
  <c r="D83" i="172" s="1"/>
  <c r="AC75" i="140"/>
  <c r="B85" i="100"/>
  <c r="A86" i="100"/>
  <c r="B87" i="173"/>
  <c r="A88" i="173"/>
  <c r="C86" i="173"/>
  <c r="G82" i="100"/>
  <c r="F82" i="100"/>
  <c r="H82" i="100"/>
  <c r="I82" i="100"/>
  <c r="C84" i="100"/>
  <c r="L82" i="100"/>
  <c r="T82" i="100"/>
  <c r="S82" i="100"/>
  <c r="W82" i="100"/>
  <c r="Z82" i="100"/>
  <c r="AB82" i="100"/>
  <c r="P82" i="100"/>
  <c r="Y82" i="100"/>
  <c r="O82" i="100"/>
  <c r="AA82" i="100"/>
  <c r="Q82" i="100"/>
  <c r="U82" i="100"/>
  <c r="R82" i="100"/>
  <c r="M82" i="100"/>
  <c r="V82" i="100"/>
  <c r="X82" i="100"/>
  <c r="K82" i="100"/>
  <c r="N82" i="100"/>
  <c r="J82" i="100"/>
  <c r="P84" i="173"/>
  <c r="T84" i="173"/>
  <c r="AA84" i="173"/>
  <c r="W84" i="173"/>
  <c r="X84" i="173"/>
  <c r="U84" i="173"/>
  <c r="Y84" i="173"/>
  <c r="K84" i="173"/>
  <c r="AB84" i="173"/>
  <c r="R84" i="173"/>
  <c r="S84" i="173"/>
  <c r="V84" i="173"/>
  <c r="O84" i="173"/>
  <c r="Z84" i="173"/>
  <c r="L84" i="173"/>
  <c r="N84" i="173"/>
  <c r="Q84" i="173"/>
  <c r="M84" i="173"/>
  <c r="J84" i="173"/>
  <c r="E85" i="173"/>
  <c r="D85" i="173"/>
  <c r="D83" i="100"/>
  <c r="E83" i="100"/>
  <c r="H84" i="173"/>
  <c r="I84" i="173"/>
  <c r="G84" i="173"/>
  <c r="F84" i="173"/>
  <c r="I81" i="172"/>
  <c r="AE76" i="140"/>
  <c r="R82" i="172" l="1"/>
  <c r="S82" i="172"/>
  <c r="T82" i="172"/>
  <c r="P81" i="172"/>
  <c r="Q81" i="172"/>
  <c r="J83" i="172"/>
  <c r="G83" i="172"/>
  <c r="H83" i="172" s="1"/>
  <c r="N81" i="172"/>
  <c r="K81" i="172"/>
  <c r="L81" i="172"/>
  <c r="L82" i="172"/>
  <c r="M81" i="172"/>
  <c r="B86" i="172"/>
  <c r="F86" i="172" s="1"/>
  <c r="E86" i="172" s="1"/>
  <c r="C84" i="172"/>
  <c r="D84" i="172" s="1"/>
  <c r="AC76" i="140"/>
  <c r="D84" i="100"/>
  <c r="E84" i="100"/>
  <c r="E86" i="173"/>
  <c r="D86" i="173"/>
  <c r="B88" i="173"/>
  <c r="A89" i="173"/>
  <c r="I83" i="100"/>
  <c r="H83" i="100"/>
  <c r="G83" i="100"/>
  <c r="F83" i="100"/>
  <c r="C87" i="173"/>
  <c r="B86" i="100"/>
  <c r="A87" i="100"/>
  <c r="AB85" i="173"/>
  <c r="P85" i="173"/>
  <c r="K85" i="173"/>
  <c r="W85" i="173"/>
  <c r="M85" i="173"/>
  <c r="T85" i="173"/>
  <c r="Z85" i="173"/>
  <c r="V85" i="173"/>
  <c r="AA85" i="173"/>
  <c r="L85" i="173"/>
  <c r="U85" i="173"/>
  <c r="Y85" i="173"/>
  <c r="N85" i="173"/>
  <c r="R85" i="173"/>
  <c r="X85" i="173"/>
  <c r="Q85" i="173"/>
  <c r="S85" i="173"/>
  <c r="O85" i="173"/>
  <c r="J85" i="173"/>
  <c r="C85" i="100"/>
  <c r="W83" i="100"/>
  <c r="N83" i="100"/>
  <c r="V83" i="100"/>
  <c r="P83" i="100"/>
  <c r="U83" i="100"/>
  <c r="AB83" i="100"/>
  <c r="S83" i="100"/>
  <c r="K83" i="100"/>
  <c r="O83" i="100"/>
  <c r="Q83" i="100"/>
  <c r="T83" i="100"/>
  <c r="AA83" i="100"/>
  <c r="M83" i="100"/>
  <c r="Z83" i="100"/>
  <c r="X83" i="100"/>
  <c r="L83" i="100"/>
  <c r="R83" i="100"/>
  <c r="Y83" i="100"/>
  <c r="J83" i="100"/>
  <c r="G85" i="173"/>
  <c r="F85" i="173"/>
  <c r="H85" i="173"/>
  <c r="I85" i="173"/>
  <c r="I82" i="172"/>
  <c r="AE77" i="140"/>
  <c r="R83" i="172" l="1"/>
  <c r="T83" i="172"/>
  <c r="S83" i="172"/>
  <c r="P82" i="172"/>
  <c r="J84" i="172"/>
  <c r="G84" i="172"/>
  <c r="H84" i="172" s="1"/>
  <c r="Q82" i="172"/>
  <c r="K83" i="172"/>
  <c r="K82" i="172"/>
  <c r="O82" i="172"/>
  <c r="M82" i="172"/>
  <c r="N82" i="172"/>
  <c r="B87" i="172"/>
  <c r="F87" i="172" s="1"/>
  <c r="E87" i="172" s="1"/>
  <c r="C85" i="172"/>
  <c r="D85" i="172" s="1"/>
  <c r="AC77" i="140"/>
  <c r="B87" i="100"/>
  <c r="A88" i="100"/>
  <c r="C86" i="100"/>
  <c r="B89" i="173"/>
  <c r="A90" i="173"/>
  <c r="D85" i="100"/>
  <c r="E85" i="100"/>
  <c r="C88" i="173"/>
  <c r="E87" i="173"/>
  <c r="D87" i="173"/>
  <c r="L86" i="173"/>
  <c r="Z86" i="173"/>
  <c r="Q86" i="173"/>
  <c r="T86" i="173"/>
  <c r="AA86" i="173"/>
  <c r="U86" i="173"/>
  <c r="N86" i="173"/>
  <c r="V86" i="173"/>
  <c r="S86" i="173"/>
  <c r="X86" i="173"/>
  <c r="AB86" i="173"/>
  <c r="M86" i="173"/>
  <c r="Y86" i="173"/>
  <c r="O86" i="173"/>
  <c r="R86" i="173"/>
  <c r="K86" i="173"/>
  <c r="W86" i="173"/>
  <c r="P86" i="173"/>
  <c r="J86" i="173"/>
  <c r="F86" i="173"/>
  <c r="I86" i="173"/>
  <c r="G86" i="173"/>
  <c r="H86" i="173"/>
  <c r="H84" i="100"/>
  <c r="F84" i="100"/>
  <c r="I84" i="100"/>
  <c r="G84" i="100"/>
  <c r="V84" i="100"/>
  <c r="W84" i="100"/>
  <c r="T84" i="100"/>
  <c r="AB84" i="100"/>
  <c r="Y84" i="100"/>
  <c r="P84" i="100"/>
  <c r="U84" i="100"/>
  <c r="M84" i="100"/>
  <c r="Z84" i="100"/>
  <c r="K84" i="100"/>
  <c r="S84" i="100"/>
  <c r="N84" i="100"/>
  <c r="L84" i="100"/>
  <c r="Q84" i="100"/>
  <c r="AA84" i="100"/>
  <c r="R84" i="100"/>
  <c r="O84" i="100"/>
  <c r="X84" i="100"/>
  <c r="J84" i="100"/>
  <c r="I84" i="172"/>
  <c r="AE78" i="140"/>
  <c r="I83" i="172"/>
  <c r="R84" i="172" l="1"/>
  <c r="S84" i="172"/>
  <c r="T84" i="172"/>
  <c r="L83" i="172"/>
  <c r="M83" i="172"/>
  <c r="Q84" i="172"/>
  <c r="P83" i="172"/>
  <c r="P84" i="172"/>
  <c r="Q83" i="172"/>
  <c r="K84" i="172"/>
  <c r="N83" i="172"/>
  <c r="O84" i="172"/>
  <c r="L84" i="172"/>
  <c r="M84" i="172"/>
  <c r="N84" i="172"/>
  <c r="J85" i="172"/>
  <c r="G85" i="172"/>
  <c r="H85" i="172" s="1"/>
  <c r="O83" i="172"/>
  <c r="C86" i="172"/>
  <c r="D86" i="172" s="1"/>
  <c r="B88" i="172"/>
  <c r="F88" i="172" s="1"/>
  <c r="E88" i="172" s="1"/>
  <c r="AC78" i="140"/>
  <c r="C89" i="173"/>
  <c r="K87" i="173"/>
  <c r="N87" i="173"/>
  <c r="W87" i="173"/>
  <c r="U87" i="173"/>
  <c r="AA87" i="173"/>
  <c r="M87" i="173"/>
  <c r="O87" i="173"/>
  <c r="S87" i="173"/>
  <c r="P87" i="173"/>
  <c r="L87" i="173"/>
  <c r="T87" i="173"/>
  <c r="X87" i="173"/>
  <c r="Y87" i="173"/>
  <c r="Z87" i="173"/>
  <c r="V87" i="173"/>
  <c r="Q87" i="173"/>
  <c r="AB87" i="173"/>
  <c r="R87" i="173"/>
  <c r="J87" i="173"/>
  <c r="G87" i="173"/>
  <c r="I87" i="173"/>
  <c r="F87" i="173"/>
  <c r="H87" i="173"/>
  <c r="D86" i="100"/>
  <c r="E86" i="100"/>
  <c r="B88" i="100"/>
  <c r="A89" i="100"/>
  <c r="E88" i="173"/>
  <c r="D88" i="173"/>
  <c r="C87" i="100"/>
  <c r="H85" i="100"/>
  <c r="I85" i="100"/>
  <c r="G85" i="100"/>
  <c r="F85" i="100"/>
  <c r="T85" i="100"/>
  <c r="M85" i="100"/>
  <c r="U85" i="100"/>
  <c r="Y85" i="100"/>
  <c r="AB85" i="100"/>
  <c r="O85" i="100"/>
  <c r="R85" i="100"/>
  <c r="Z85" i="100"/>
  <c r="L85" i="100"/>
  <c r="W85" i="100"/>
  <c r="S85" i="100"/>
  <c r="Q85" i="100"/>
  <c r="N85" i="100"/>
  <c r="P85" i="100"/>
  <c r="V85" i="100"/>
  <c r="AA85" i="100"/>
  <c r="K85" i="100"/>
  <c r="X85" i="100"/>
  <c r="J85" i="100"/>
  <c r="B90" i="173"/>
  <c r="A91" i="173"/>
  <c r="AE79" i="140"/>
  <c r="T85" i="172" l="1"/>
  <c r="R85" i="172"/>
  <c r="S85" i="172"/>
  <c r="O85" i="172"/>
  <c r="G86" i="172"/>
  <c r="H86" i="172" s="1"/>
  <c r="J86" i="172"/>
  <c r="B89" i="172"/>
  <c r="F89" i="172" s="1"/>
  <c r="E89" i="172" s="1"/>
  <c r="C87" i="172"/>
  <c r="D87" i="172" s="1"/>
  <c r="AC79" i="140"/>
  <c r="B89" i="100"/>
  <c r="A90" i="100"/>
  <c r="C88" i="100"/>
  <c r="D87" i="100"/>
  <c r="E87" i="100"/>
  <c r="I86" i="100"/>
  <c r="H86" i="100"/>
  <c r="F86" i="100"/>
  <c r="G86" i="100"/>
  <c r="B91" i="173"/>
  <c r="A92" i="173"/>
  <c r="C90" i="173"/>
  <c r="AA86" i="100"/>
  <c r="W86" i="100"/>
  <c r="L86" i="100"/>
  <c r="P86" i="100"/>
  <c r="Y86" i="100"/>
  <c r="V86" i="100"/>
  <c r="S86" i="100"/>
  <c r="N86" i="100"/>
  <c r="AB86" i="100"/>
  <c r="O86" i="100"/>
  <c r="R86" i="100"/>
  <c r="M86" i="100"/>
  <c r="T86" i="100"/>
  <c r="Q86" i="100"/>
  <c r="U86" i="100"/>
  <c r="K86" i="100"/>
  <c r="X86" i="100"/>
  <c r="Z86" i="100"/>
  <c r="J86" i="100"/>
  <c r="O88" i="173"/>
  <c r="Q88" i="173"/>
  <c r="N88" i="173"/>
  <c r="W88" i="173"/>
  <c r="V88" i="173"/>
  <c r="P88" i="173"/>
  <c r="K88" i="173"/>
  <c r="Y88" i="173"/>
  <c r="X88" i="173"/>
  <c r="Z88" i="173"/>
  <c r="S88" i="173"/>
  <c r="AB88" i="173"/>
  <c r="AA88" i="173"/>
  <c r="U88" i="173"/>
  <c r="R88" i="173"/>
  <c r="M88" i="173"/>
  <c r="L88" i="173"/>
  <c r="T88" i="173"/>
  <c r="J88" i="173"/>
  <c r="E89" i="173"/>
  <c r="D89" i="173"/>
  <c r="G88" i="173"/>
  <c r="F88" i="173"/>
  <c r="I88" i="173"/>
  <c r="H88" i="173"/>
  <c r="AE80" i="140"/>
  <c r="I85" i="172"/>
  <c r="S86" i="172" l="1"/>
  <c r="T86" i="172"/>
  <c r="R86" i="172"/>
  <c r="L85" i="172"/>
  <c r="N85" i="172"/>
  <c r="M85" i="172"/>
  <c r="P85" i="172"/>
  <c r="N86" i="172"/>
  <c r="G87" i="172"/>
  <c r="H87" i="172" s="1"/>
  <c r="J87" i="172"/>
  <c r="K85" i="172"/>
  <c r="Q85" i="172"/>
  <c r="B90" i="172"/>
  <c r="F90" i="172" s="1"/>
  <c r="E90" i="172" s="1"/>
  <c r="C88" i="172"/>
  <c r="D88" i="172" s="1"/>
  <c r="AC80" i="140"/>
  <c r="B92" i="173"/>
  <c r="A93" i="173"/>
  <c r="O87" i="100"/>
  <c r="L87" i="100"/>
  <c r="V87" i="100"/>
  <c r="W87" i="100"/>
  <c r="M87" i="100"/>
  <c r="U87" i="100"/>
  <c r="Y87" i="100"/>
  <c r="R87" i="100"/>
  <c r="T87" i="100"/>
  <c r="P87" i="100"/>
  <c r="X87" i="100"/>
  <c r="N87" i="100"/>
  <c r="AA87" i="100"/>
  <c r="K87" i="100"/>
  <c r="Q87" i="100"/>
  <c r="S87" i="100"/>
  <c r="Z87" i="100"/>
  <c r="AB87" i="100"/>
  <c r="J87" i="100"/>
  <c r="C89" i="100"/>
  <c r="C91" i="173"/>
  <c r="L89" i="173"/>
  <c r="W89" i="173"/>
  <c r="AB89" i="173"/>
  <c r="Y89" i="173"/>
  <c r="K89" i="173"/>
  <c r="O89" i="173"/>
  <c r="Q89" i="173"/>
  <c r="X89" i="173"/>
  <c r="R89" i="173"/>
  <c r="AA89" i="173"/>
  <c r="S89" i="173"/>
  <c r="V89" i="173"/>
  <c r="M89" i="173"/>
  <c r="Z89" i="173"/>
  <c r="P89" i="173"/>
  <c r="U89" i="173"/>
  <c r="T89" i="173"/>
  <c r="N89" i="173"/>
  <c r="J89" i="173"/>
  <c r="I89" i="173"/>
  <c r="G89" i="173"/>
  <c r="F89" i="173"/>
  <c r="H89" i="173"/>
  <c r="D88" i="100"/>
  <c r="E88" i="100"/>
  <c r="E90" i="173"/>
  <c r="D90" i="173"/>
  <c r="G87" i="100"/>
  <c r="I87" i="100"/>
  <c r="F87" i="100"/>
  <c r="H87" i="100"/>
  <c r="B90" i="100"/>
  <c r="A91" i="100"/>
  <c r="I86" i="172"/>
  <c r="I87" i="172"/>
  <c r="AE81" i="140"/>
  <c r="R87" i="172" l="1"/>
  <c r="S87" i="172"/>
  <c r="T87" i="172"/>
  <c r="K86" i="172"/>
  <c r="O86" i="172"/>
  <c r="Q87" i="172"/>
  <c r="M86" i="172"/>
  <c r="P87" i="172"/>
  <c r="P86" i="172"/>
  <c r="J88" i="172"/>
  <c r="G88" i="172"/>
  <c r="H88" i="172" s="1"/>
  <c r="L86" i="172"/>
  <c r="L87" i="172"/>
  <c r="Q86" i="172"/>
  <c r="N87" i="172"/>
  <c r="M87" i="172"/>
  <c r="K87" i="172"/>
  <c r="O87" i="172"/>
  <c r="B91" i="172"/>
  <c r="F91" i="172" s="1"/>
  <c r="E91" i="172" s="1"/>
  <c r="C89" i="172"/>
  <c r="D89" i="172" s="1"/>
  <c r="AC81" i="140"/>
  <c r="G88" i="100"/>
  <c r="I88" i="100"/>
  <c r="H88" i="100"/>
  <c r="F88" i="100"/>
  <c r="M88" i="100"/>
  <c r="K88" i="100"/>
  <c r="X88" i="100"/>
  <c r="V88" i="100"/>
  <c r="P88" i="100"/>
  <c r="O88" i="100"/>
  <c r="T88" i="100"/>
  <c r="Q88" i="100"/>
  <c r="AA88" i="100"/>
  <c r="W88" i="100"/>
  <c r="AB88" i="100"/>
  <c r="Z88" i="100"/>
  <c r="R88" i="100"/>
  <c r="N88" i="100"/>
  <c r="S88" i="100"/>
  <c r="U88" i="100"/>
  <c r="Y88" i="100"/>
  <c r="L88" i="100"/>
  <c r="J88" i="100"/>
  <c r="S90" i="173"/>
  <c r="AB90" i="173"/>
  <c r="T90" i="173"/>
  <c r="N90" i="173"/>
  <c r="O90" i="173"/>
  <c r="X90" i="173"/>
  <c r="K90" i="173"/>
  <c r="M90" i="173"/>
  <c r="Z90" i="173"/>
  <c r="AA90" i="173"/>
  <c r="R90" i="173"/>
  <c r="Y90" i="173"/>
  <c r="U90" i="173"/>
  <c r="W90" i="173"/>
  <c r="Q90" i="173"/>
  <c r="P90" i="173"/>
  <c r="V90" i="173"/>
  <c r="L90" i="173"/>
  <c r="J90" i="173"/>
  <c r="B91" i="100"/>
  <c r="A92" i="100"/>
  <c r="I90" i="173"/>
  <c r="F90" i="173"/>
  <c r="G90" i="173"/>
  <c r="H90" i="173"/>
  <c r="E91" i="173"/>
  <c r="D91" i="173"/>
  <c r="D89" i="100"/>
  <c r="E89" i="100"/>
  <c r="C90" i="100"/>
  <c r="B93" i="173"/>
  <c r="A94" i="173"/>
  <c r="C92" i="173"/>
  <c r="I88" i="172"/>
  <c r="AE82" i="140"/>
  <c r="S88" i="172" l="1"/>
  <c r="R88" i="172"/>
  <c r="T88" i="172"/>
  <c r="Q88" i="172"/>
  <c r="P88" i="172"/>
  <c r="N88" i="172"/>
  <c r="O88" i="172"/>
  <c r="L88" i="172"/>
  <c r="K88" i="172"/>
  <c r="M88" i="172"/>
  <c r="J89" i="172"/>
  <c r="G89" i="172"/>
  <c r="H89" i="172" s="1"/>
  <c r="B92" i="172"/>
  <c r="F92" i="172" s="1"/>
  <c r="E92" i="172" s="1"/>
  <c r="C90" i="172"/>
  <c r="D90" i="172" s="1"/>
  <c r="AC82" i="140"/>
  <c r="M91" i="173"/>
  <c r="Y91" i="173"/>
  <c r="X91" i="173"/>
  <c r="AB91" i="173"/>
  <c r="S91" i="173"/>
  <c r="W91" i="173"/>
  <c r="N91" i="173"/>
  <c r="L91" i="173"/>
  <c r="Q91" i="173"/>
  <c r="K91" i="173"/>
  <c r="T91" i="173"/>
  <c r="R91" i="173"/>
  <c r="V91" i="173"/>
  <c r="Z91" i="173"/>
  <c r="AA91" i="173"/>
  <c r="O91" i="173"/>
  <c r="P91" i="173"/>
  <c r="U91" i="173"/>
  <c r="J91" i="173"/>
  <c r="AA89" i="100"/>
  <c r="V89" i="100"/>
  <c r="Z89" i="100"/>
  <c r="L89" i="100"/>
  <c r="S89" i="100"/>
  <c r="N89" i="100"/>
  <c r="M89" i="100"/>
  <c r="O89" i="100"/>
  <c r="Q89" i="100"/>
  <c r="AB89" i="100"/>
  <c r="Y89" i="100"/>
  <c r="K89" i="100"/>
  <c r="X89" i="100"/>
  <c r="P89" i="100"/>
  <c r="U89" i="100"/>
  <c r="T89" i="100"/>
  <c r="W89" i="100"/>
  <c r="R89" i="100"/>
  <c r="J89" i="100"/>
  <c r="B92" i="100"/>
  <c r="A93" i="100"/>
  <c r="H89" i="100"/>
  <c r="I89" i="100"/>
  <c r="F89" i="100"/>
  <c r="G89" i="100"/>
  <c r="B94" i="173"/>
  <c r="A95" i="173"/>
  <c r="F91" i="173"/>
  <c r="G91" i="173"/>
  <c r="H91" i="173"/>
  <c r="I91" i="173"/>
  <c r="C91" i="100"/>
  <c r="D90" i="100"/>
  <c r="E90" i="100"/>
  <c r="E92" i="173"/>
  <c r="D92" i="173"/>
  <c r="C93" i="173"/>
  <c r="AE83" i="140"/>
  <c r="R89" i="172" l="1"/>
  <c r="S89" i="172"/>
  <c r="T89" i="172"/>
  <c r="O89" i="172"/>
  <c r="J90" i="172"/>
  <c r="G90" i="172"/>
  <c r="H90" i="172" s="1"/>
  <c r="B93" i="172"/>
  <c r="F93" i="172" s="1"/>
  <c r="E93" i="172" s="1"/>
  <c r="C91" i="172"/>
  <c r="D91" i="172" s="1"/>
  <c r="AC83" i="140"/>
  <c r="D91" i="100"/>
  <c r="E91" i="100"/>
  <c r="H92" i="173"/>
  <c r="I92" i="173"/>
  <c r="F92" i="173"/>
  <c r="G92" i="173"/>
  <c r="Z92" i="173"/>
  <c r="AA92" i="173"/>
  <c r="M92" i="173"/>
  <c r="AB92" i="173"/>
  <c r="T92" i="173"/>
  <c r="S92" i="173"/>
  <c r="Q92" i="173"/>
  <c r="L92" i="173"/>
  <c r="V92" i="173"/>
  <c r="O92" i="173"/>
  <c r="N92" i="173"/>
  <c r="X92" i="173"/>
  <c r="W92" i="173"/>
  <c r="U92" i="173"/>
  <c r="Y92" i="173"/>
  <c r="K92" i="173"/>
  <c r="P92" i="173"/>
  <c r="R92" i="173"/>
  <c r="J92" i="173"/>
  <c r="I90" i="100"/>
  <c r="G90" i="100"/>
  <c r="H90" i="100"/>
  <c r="F90" i="100"/>
  <c r="B93" i="100"/>
  <c r="A94" i="100"/>
  <c r="C94" i="173"/>
  <c r="E93" i="173"/>
  <c r="D93" i="173"/>
  <c r="AB90" i="100"/>
  <c r="Z90" i="100"/>
  <c r="S90" i="100"/>
  <c r="P90" i="100"/>
  <c r="O90" i="100"/>
  <c r="R90" i="100"/>
  <c r="K90" i="100"/>
  <c r="M90" i="100"/>
  <c r="AA90" i="100"/>
  <c r="N90" i="100"/>
  <c r="Q90" i="100"/>
  <c r="X90" i="100"/>
  <c r="Y90" i="100"/>
  <c r="W90" i="100"/>
  <c r="U90" i="100"/>
  <c r="V90" i="100"/>
  <c r="T90" i="100"/>
  <c r="L90" i="100"/>
  <c r="J90" i="100"/>
  <c r="B95" i="173"/>
  <c r="A96" i="173"/>
  <c r="C92" i="100"/>
  <c r="I89" i="172"/>
  <c r="AE84" i="140"/>
  <c r="R90" i="172" l="1"/>
  <c r="S90" i="172"/>
  <c r="T90" i="172"/>
  <c r="K89" i="172"/>
  <c r="M89" i="172"/>
  <c r="N89" i="172"/>
  <c r="L89" i="172"/>
  <c r="P89" i="172"/>
  <c r="O90" i="172"/>
  <c r="J91" i="172"/>
  <c r="G91" i="172"/>
  <c r="H91" i="172" s="1"/>
  <c r="Q89" i="172"/>
  <c r="B94" i="172"/>
  <c r="F94" i="172" s="1"/>
  <c r="E94" i="172" s="1"/>
  <c r="C92" i="172"/>
  <c r="D92" i="172" s="1"/>
  <c r="AC84" i="140"/>
  <c r="D92" i="100"/>
  <c r="E92" i="100"/>
  <c r="B94" i="100"/>
  <c r="A95" i="100"/>
  <c r="E94" i="173"/>
  <c r="D94" i="173"/>
  <c r="C95" i="173"/>
  <c r="C93" i="100"/>
  <c r="M93" i="173"/>
  <c r="N93" i="173"/>
  <c r="AA93" i="173"/>
  <c r="P93" i="173"/>
  <c r="R93" i="173"/>
  <c r="X93" i="173"/>
  <c r="Q93" i="173"/>
  <c r="O93" i="173"/>
  <c r="K93" i="173"/>
  <c r="U93" i="173"/>
  <c r="AB93" i="173"/>
  <c r="L93" i="173"/>
  <c r="T93" i="173"/>
  <c r="W93" i="173"/>
  <c r="S93" i="173"/>
  <c r="Y93" i="173"/>
  <c r="V93" i="173"/>
  <c r="Z93" i="173"/>
  <c r="J93" i="173"/>
  <c r="G93" i="173"/>
  <c r="I93" i="173"/>
  <c r="H93" i="173"/>
  <c r="F93" i="173"/>
  <c r="I91" i="100"/>
  <c r="F91" i="100"/>
  <c r="G91" i="100"/>
  <c r="H91" i="100"/>
  <c r="B96" i="173"/>
  <c r="A97" i="173"/>
  <c r="S91" i="100"/>
  <c r="Z91" i="100"/>
  <c r="U91" i="100"/>
  <c r="N91" i="100"/>
  <c r="X91" i="100"/>
  <c r="K91" i="100"/>
  <c r="L91" i="100"/>
  <c r="Y91" i="100"/>
  <c r="P91" i="100"/>
  <c r="O91" i="100"/>
  <c r="AB91" i="100"/>
  <c r="R91" i="100"/>
  <c r="W91" i="100"/>
  <c r="Q91" i="100"/>
  <c r="M91" i="100"/>
  <c r="T91" i="100"/>
  <c r="AA91" i="100"/>
  <c r="V91" i="100"/>
  <c r="J91" i="100"/>
  <c r="AE85" i="140"/>
  <c r="I90" i="172"/>
  <c r="R91" i="172" l="1"/>
  <c r="T91" i="172"/>
  <c r="S91" i="172"/>
  <c r="N90" i="172"/>
  <c r="M90" i="172"/>
  <c r="L90" i="172"/>
  <c r="P90" i="172"/>
  <c r="O91" i="172"/>
  <c r="J92" i="172"/>
  <c r="G92" i="172"/>
  <c r="H92" i="172" s="1"/>
  <c r="K90" i="172"/>
  <c r="Q90" i="172"/>
  <c r="B95" i="172"/>
  <c r="F95" i="172" s="1"/>
  <c r="E95" i="172" s="1"/>
  <c r="C93" i="172"/>
  <c r="D93" i="172" s="1"/>
  <c r="AC85" i="140"/>
  <c r="C96" i="173"/>
  <c r="G94" i="173"/>
  <c r="I94" i="173"/>
  <c r="F94" i="173"/>
  <c r="H94" i="173"/>
  <c r="B95" i="100"/>
  <c r="A96" i="100"/>
  <c r="C94" i="100"/>
  <c r="D93" i="100"/>
  <c r="E93" i="100"/>
  <c r="I92" i="100"/>
  <c r="G92" i="100"/>
  <c r="H92" i="100"/>
  <c r="F92" i="100"/>
  <c r="E95" i="173"/>
  <c r="D95" i="173"/>
  <c r="K92" i="100"/>
  <c r="N92" i="100"/>
  <c r="AB92" i="100"/>
  <c r="W92" i="100"/>
  <c r="O92" i="100"/>
  <c r="T92" i="100"/>
  <c r="X92" i="100"/>
  <c r="Q92" i="100"/>
  <c r="L92" i="100"/>
  <c r="V92" i="100"/>
  <c r="R92" i="100"/>
  <c r="Y92" i="100"/>
  <c r="U92" i="100"/>
  <c r="Z92" i="100"/>
  <c r="S92" i="100"/>
  <c r="P92" i="100"/>
  <c r="AA92" i="100"/>
  <c r="M92" i="100"/>
  <c r="J92" i="100"/>
  <c r="B97" i="173"/>
  <c r="A98" i="173"/>
  <c r="T94" i="173"/>
  <c r="P94" i="173"/>
  <c r="N94" i="173"/>
  <c r="AB94" i="173"/>
  <c r="V94" i="173"/>
  <c r="U94" i="173"/>
  <c r="O94" i="173"/>
  <c r="M94" i="173"/>
  <c r="W94" i="173"/>
  <c r="K94" i="173"/>
  <c r="R94" i="173"/>
  <c r="AA94" i="173"/>
  <c r="X94" i="173"/>
  <c r="L94" i="173"/>
  <c r="Z94" i="173"/>
  <c r="S94" i="173"/>
  <c r="Q94" i="173"/>
  <c r="Y94" i="173"/>
  <c r="J94" i="173"/>
  <c r="AE86" i="140"/>
  <c r="I91" i="172"/>
  <c r="R92" i="172" l="1"/>
  <c r="S92" i="172"/>
  <c r="T92" i="172"/>
  <c r="K91" i="172"/>
  <c r="M91" i="172"/>
  <c r="N91" i="172"/>
  <c r="L91" i="172"/>
  <c r="P91" i="172"/>
  <c r="J93" i="172"/>
  <c r="G93" i="172"/>
  <c r="H93" i="172" s="1"/>
  <c r="N92" i="172"/>
  <c r="Q91" i="172"/>
  <c r="C94" i="172"/>
  <c r="D94" i="172" s="1"/>
  <c r="B96" i="172"/>
  <c r="F96" i="172" s="1"/>
  <c r="E96" i="172" s="1"/>
  <c r="AC86" i="140"/>
  <c r="D94" i="100"/>
  <c r="E94" i="100"/>
  <c r="G93" i="100"/>
  <c r="I93" i="100"/>
  <c r="H93" i="100"/>
  <c r="F93" i="100"/>
  <c r="T95" i="173"/>
  <c r="W95" i="173"/>
  <c r="L95" i="173"/>
  <c r="O95" i="173"/>
  <c r="U95" i="173"/>
  <c r="R95" i="173"/>
  <c r="N95" i="173"/>
  <c r="AA95" i="173"/>
  <c r="K95" i="173"/>
  <c r="V95" i="173"/>
  <c r="Y95" i="173"/>
  <c r="P95" i="173"/>
  <c r="S95" i="173"/>
  <c r="X95" i="173"/>
  <c r="M95" i="173"/>
  <c r="AB95" i="173"/>
  <c r="Z95" i="173"/>
  <c r="Q95" i="173"/>
  <c r="J95" i="173"/>
  <c r="V93" i="100"/>
  <c r="M93" i="100"/>
  <c r="L93" i="100"/>
  <c r="N93" i="100"/>
  <c r="R93" i="100"/>
  <c r="AB93" i="100"/>
  <c r="O93" i="100"/>
  <c r="Q93" i="100"/>
  <c r="T93" i="100"/>
  <c r="K93" i="100"/>
  <c r="P93" i="100"/>
  <c r="W93" i="100"/>
  <c r="U93" i="100"/>
  <c r="Z93" i="100"/>
  <c r="Y93" i="100"/>
  <c r="S93" i="100"/>
  <c r="AA93" i="100"/>
  <c r="X93" i="100"/>
  <c r="J93" i="100"/>
  <c r="H95" i="173"/>
  <c r="I95" i="173"/>
  <c r="G95" i="173"/>
  <c r="F95" i="173"/>
  <c r="B96" i="100"/>
  <c r="A97" i="100"/>
  <c r="B98" i="173"/>
  <c r="A99" i="173"/>
  <c r="C95" i="100"/>
  <c r="E96" i="173"/>
  <c r="D96" i="173"/>
  <c r="C97" i="173"/>
  <c r="AE87" i="140"/>
  <c r="I92" i="172"/>
  <c r="T93" i="172" l="1"/>
  <c r="R93" i="172"/>
  <c r="S93" i="172"/>
  <c r="P92" i="172"/>
  <c r="L93" i="172"/>
  <c r="Q92" i="172"/>
  <c r="O92" i="172"/>
  <c r="K92" i="172"/>
  <c r="L92" i="172"/>
  <c r="J94" i="172"/>
  <c r="G94" i="172"/>
  <c r="H94" i="172" s="1"/>
  <c r="M92" i="172"/>
  <c r="B97" i="172"/>
  <c r="F97" i="172" s="1"/>
  <c r="E97" i="172" s="1"/>
  <c r="C95" i="172"/>
  <c r="D95" i="172" s="1"/>
  <c r="AC87" i="140"/>
  <c r="G96" i="173"/>
  <c r="I96" i="173"/>
  <c r="H96" i="173"/>
  <c r="F96" i="173"/>
  <c r="D95" i="100"/>
  <c r="E95" i="100"/>
  <c r="B99" i="173"/>
  <c r="A100" i="173"/>
  <c r="C98" i="173"/>
  <c r="B97" i="100"/>
  <c r="A98" i="100"/>
  <c r="I94" i="100"/>
  <c r="H94" i="100"/>
  <c r="F94" i="100"/>
  <c r="G94" i="100"/>
  <c r="E97" i="173"/>
  <c r="D97" i="173"/>
  <c r="T96" i="173"/>
  <c r="M96" i="173"/>
  <c r="W96" i="173"/>
  <c r="R96" i="173"/>
  <c r="Z96" i="173"/>
  <c r="AA96" i="173"/>
  <c r="S96" i="173"/>
  <c r="N96" i="173"/>
  <c r="L96" i="173"/>
  <c r="X96" i="173"/>
  <c r="V96" i="173"/>
  <c r="P96" i="173"/>
  <c r="Y96" i="173"/>
  <c r="O96" i="173"/>
  <c r="AB96" i="173"/>
  <c r="U96" i="173"/>
  <c r="Q96" i="173"/>
  <c r="K96" i="173"/>
  <c r="J96" i="173"/>
  <c r="C96" i="100"/>
  <c r="N94" i="100"/>
  <c r="AA94" i="100"/>
  <c r="X94" i="100"/>
  <c r="U94" i="100"/>
  <c r="Q94" i="100"/>
  <c r="T94" i="100"/>
  <c r="V94" i="100"/>
  <c r="K94" i="100"/>
  <c r="S94" i="100"/>
  <c r="AB94" i="100"/>
  <c r="R94" i="100"/>
  <c r="Z94" i="100"/>
  <c r="W94" i="100"/>
  <c r="P94" i="100"/>
  <c r="M94" i="100"/>
  <c r="Y94" i="100"/>
  <c r="O94" i="100"/>
  <c r="L94" i="100"/>
  <c r="J94" i="100"/>
  <c r="I93" i="172"/>
  <c r="AE88" i="140"/>
  <c r="S94" i="172" l="1"/>
  <c r="T94" i="172"/>
  <c r="R94" i="172"/>
  <c r="O93" i="172"/>
  <c r="M93" i="172"/>
  <c r="N93" i="172"/>
  <c r="P93" i="172"/>
  <c r="M94" i="172"/>
  <c r="J95" i="172"/>
  <c r="G95" i="172"/>
  <c r="H95" i="172" s="1"/>
  <c r="K93" i="172"/>
  <c r="Q93" i="172"/>
  <c r="B98" i="172"/>
  <c r="F98" i="172" s="1"/>
  <c r="E98" i="172" s="1"/>
  <c r="C96" i="172"/>
  <c r="D96" i="172" s="1"/>
  <c r="AC88" i="140"/>
  <c r="B98" i="100"/>
  <c r="A99" i="100"/>
  <c r="I95" i="100"/>
  <c r="H95" i="100"/>
  <c r="F95" i="100"/>
  <c r="G95" i="100"/>
  <c r="C97" i="100"/>
  <c r="R95" i="100"/>
  <c r="W95" i="100"/>
  <c r="M95" i="100"/>
  <c r="L95" i="100"/>
  <c r="Z95" i="100"/>
  <c r="K95" i="100"/>
  <c r="AA95" i="100"/>
  <c r="Q95" i="100"/>
  <c r="T95" i="100"/>
  <c r="O95" i="100"/>
  <c r="U95" i="100"/>
  <c r="AB95" i="100"/>
  <c r="X95" i="100"/>
  <c r="N95" i="100"/>
  <c r="V95" i="100"/>
  <c r="S95" i="100"/>
  <c r="P95" i="100"/>
  <c r="Y95" i="100"/>
  <c r="J95" i="100"/>
  <c r="E98" i="173"/>
  <c r="D98" i="173"/>
  <c r="AA97" i="173"/>
  <c r="T97" i="173"/>
  <c r="Z97" i="173"/>
  <c r="V97" i="173"/>
  <c r="K97" i="173"/>
  <c r="U97" i="173"/>
  <c r="Y97" i="173"/>
  <c r="O97" i="173"/>
  <c r="R97" i="173"/>
  <c r="N97" i="173"/>
  <c r="M97" i="173"/>
  <c r="W97" i="173"/>
  <c r="S97" i="173"/>
  <c r="X97" i="173"/>
  <c r="L97" i="173"/>
  <c r="Q97" i="173"/>
  <c r="P97" i="173"/>
  <c r="AB97" i="173"/>
  <c r="J97" i="173"/>
  <c r="F97" i="173"/>
  <c r="H97" i="173"/>
  <c r="I97" i="173"/>
  <c r="G97" i="173"/>
  <c r="B100" i="173"/>
  <c r="A101" i="173"/>
  <c r="D96" i="100"/>
  <c r="E96" i="100"/>
  <c r="C99" i="173"/>
  <c r="I94" i="172"/>
  <c r="AE89" i="140"/>
  <c r="R95" i="172" l="1"/>
  <c r="S95" i="172"/>
  <c r="T95" i="172"/>
  <c r="K94" i="172"/>
  <c r="O94" i="172"/>
  <c r="N94" i="172"/>
  <c r="L94" i="172"/>
  <c r="P94" i="172"/>
  <c r="K95" i="172"/>
  <c r="J96" i="172"/>
  <c r="G96" i="172"/>
  <c r="H96" i="172" s="1"/>
  <c r="Q94" i="172"/>
  <c r="B99" i="172"/>
  <c r="F99" i="172" s="1"/>
  <c r="E99" i="172" s="1"/>
  <c r="C97" i="172"/>
  <c r="D97" i="172" s="1"/>
  <c r="AC89" i="140"/>
  <c r="N98" i="173"/>
  <c r="T98" i="173"/>
  <c r="AB98" i="173"/>
  <c r="Z98" i="173"/>
  <c r="Y98" i="173"/>
  <c r="AA98" i="173"/>
  <c r="W98" i="173"/>
  <c r="R98" i="173"/>
  <c r="V98" i="173"/>
  <c r="M98" i="173"/>
  <c r="Q98" i="173"/>
  <c r="P98" i="173"/>
  <c r="L98" i="173"/>
  <c r="S98" i="173"/>
  <c r="O98" i="173"/>
  <c r="K98" i="173"/>
  <c r="U98" i="173"/>
  <c r="X98" i="173"/>
  <c r="J98" i="173"/>
  <c r="C100" i="173"/>
  <c r="F98" i="173"/>
  <c r="G98" i="173"/>
  <c r="I98" i="173"/>
  <c r="H98" i="173"/>
  <c r="D99" i="173"/>
  <c r="E99" i="173"/>
  <c r="H96" i="100"/>
  <c r="G96" i="100"/>
  <c r="I96" i="100"/>
  <c r="F96" i="100"/>
  <c r="U96" i="100"/>
  <c r="T96" i="100"/>
  <c r="L96" i="100"/>
  <c r="N96" i="100"/>
  <c r="P96" i="100"/>
  <c r="K96" i="100"/>
  <c r="AA96" i="100"/>
  <c r="S96" i="100"/>
  <c r="V96" i="100"/>
  <c r="Q96" i="100"/>
  <c r="O96" i="100"/>
  <c r="X96" i="100"/>
  <c r="M96" i="100"/>
  <c r="R96" i="100"/>
  <c r="Y96" i="100"/>
  <c r="W96" i="100"/>
  <c r="Z96" i="100"/>
  <c r="AB96" i="100"/>
  <c r="J96" i="100"/>
  <c r="B99" i="100"/>
  <c r="A100" i="100"/>
  <c r="B101" i="173"/>
  <c r="A102" i="173"/>
  <c r="D97" i="100"/>
  <c r="E97" i="100"/>
  <c r="C98" i="100"/>
  <c r="AE90" i="140"/>
  <c r="I95" i="172"/>
  <c r="S96" i="172" l="1"/>
  <c r="R96" i="172"/>
  <c r="T96" i="172"/>
  <c r="N95" i="172"/>
  <c r="L95" i="172"/>
  <c r="M95" i="172"/>
  <c r="P95" i="172"/>
  <c r="M96" i="172"/>
  <c r="O95" i="172"/>
  <c r="J97" i="172"/>
  <c r="G97" i="172"/>
  <c r="H97" i="172" s="1"/>
  <c r="Q95" i="172"/>
  <c r="B100" i="172"/>
  <c r="F100" i="172" s="1"/>
  <c r="E100" i="172" s="1"/>
  <c r="C98" i="172"/>
  <c r="D98" i="172" s="1"/>
  <c r="AC90" i="140"/>
  <c r="C99" i="100"/>
  <c r="F99" i="173"/>
  <c r="H99" i="173"/>
  <c r="I99" i="173"/>
  <c r="G99" i="173"/>
  <c r="M99" i="173"/>
  <c r="X99" i="173"/>
  <c r="U99" i="173"/>
  <c r="AB99" i="173"/>
  <c r="O99" i="173"/>
  <c r="N99" i="173"/>
  <c r="L99" i="173"/>
  <c r="V99" i="173"/>
  <c r="S99" i="173"/>
  <c r="AA99" i="173"/>
  <c r="Q99" i="173"/>
  <c r="T99" i="173"/>
  <c r="P99" i="173"/>
  <c r="Z99" i="173"/>
  <c r="Y99" i="173"/>
  <c r="R99" i="173"/>
  <c r="W99" i="173"/>
  <c r="K99" i="173"/>
  <c r="J99" i="173"/>
  <c r="D100" i="173"/>
  <c r="E100" i="173"/>
  <c r="D98" i="100"/>
  <c r="E98" i="100"/>
  <c r="N97" i="100"/>
  <c r="P97" i="100"/>
  <c r="Z97" i="100"/>
  <c r="U97" i="100"/>
  <c r="W97" i="100"/>
  <c r="K97" i="100"/>
  <c r="Y97" i="100"/>
  <c r="AB97" i="100"/>
  <c r="S97" i="100"/>
  <c r="Q97" i="100"/>
  <c r="M97" i="100"/>
  <c r="R97" i="100"/>
  <c r="X97" i="100"/>
  <c r="V97" i="100"/>
  <c r="L97" i="100"/>
  <c r="O97" i="100"/>
  <c r="T97" i="100"/>
  <c r="AA97" i="100"/>
  <c r="J97" i="100"/>
  <c r="B102" i="173"/>
  <c r="A103" i="173"/>
  <c r="I97" i="100"/>
  <c r="F97" i="100"/>
  <c r="H97" i="100"/>
  <c r="G97" i="100"/>
  <c r="C101" i="173"/>
  <c r="B100" i="100"/>
  <c r="A101" i="100"/>
  <c r="AE91" i="140"/>
  <c r="I96" i="172"/>
  <c r="R97" i="172" l="1"/>
  <c r="S97" i="172"/>
  <c r="T97" i="172"/>
  <c r="L96" i="172"/>
  <c r="K96" i="172"/>
  <c r="N96" i="172"/>
  <c r="O96" i="172"/>
  <c r="P96" i="172"/>
  <c r="G98" i="172"/>
  <c r="H98" i="172" s="1"/>
  <c r="J98" i="172"/>
  <c r="Q96" i="172"/>
  <c r="M97" i="172"/>
  <c r="B101" i="172"/>
  <c r="F101" i="172" s="1"/>
  <c r="E101" i="172" s="1"/>
  <c r="C99" i="172"/>
  <c r="D99" i="172" s="1"/>
  <c r="AC91" i="140"/>
  <c r="K98" i="100"/>
  <c r="N98" i="100"/>
  <c r="O98" i="100"/>
  <c r="AA98" i="100"/>
  <c r="R98" i="100"/>
  <c r="T98" i="100"/>
  <c r="U98" i="100"/>
  <c r="S98" i="100"/>
  <c r="P98" i="100"/>
  <c r="M98" i="100"/>
  <c r="Q98" i="100"/>
  <c r="AB98" i="100"/>
  <c r="L98" i="100"/>
  <c r="V98" i="100"/>
  <c r="Z98" i="100"/>
  <c r="W98" i="100"/>
  <c r="Y98" i="100"/>
  <c r="X98" i="100"/>
  <c r="J98" i="100"/>
  <c r="B101" i="100"/>
  <c r="A102" i="100"/>
  <c r="F100" i="173"/>
  <c r="H100" i="173"/>
  <c r="G100" i="173"/>
  <c r="I100" i="173"/>
  <c r="B103" i="173"/>
  <c r="A104" i="173"/>
  <c r="M100" i="173"/>
  <c r="Z100" i="173"/>
  <c r="L100" i="173"/>
  <c r="U100" i="173"/>
  <c r="O100" i="173"/>
  <c r="N100" i="173"/>
  <c r="AB100" i="173"/>
  <c r="S100" i="173"/>
  <c r="Q100" i="173"/>
  <c r="P100" i="173"/>
  <c r="V100" i="173"/>
  <c r="R100" i="173"/>
  <c r="T100" i="173"/>
  <c r="K100" i="173"/>
  <c r="Y100" i="173"/>
  <c r="X100" i="173"/>
  <c r="W100" i="173"/>
  <c r="AA100" i="173"/>
  <c r="J100" i="173"/>
  <c r="E101" i="173"/>
  <c r="D101" i="173"/>
  <c r="C102" i="173"/>
  <c r="D99" i="100"/>
  <c r="E99" i="100"/>
  <c r="C100" i="100"/>
  <c r="F98" i="100"/>
  <c r="H98" i="100"/>
  <c r="I98" i="100"/>
  <c r="G98" i="100"/>
  <c r="I97" i="172"/>
  <c r="AE92" i="140"/>
  <c r="R98" i="172" l="1"/>
  <c r="S98" i="172"/>
  <c r="T98" i="172"/>
  <c r="L97" i="172"/>
  <c r="N97" i="172"/>
  <c r="K97" i="172"/>
  <c r="P97" i="172"/>
  <c r="Q97" i="172"/>
  <c r="J99" i="172"/>
  <c r="G99" i="172"/>
  <c r="H99" i="172" s="1"/>
  <c r="L98" i="172"/>
  <c r="O97" i="172"/>
  <c r="B102" i="172"/>
  <c r="F102" i="172" s="1"/>
  <c r="E102" i="172" s="1"/>
  <c r="C100" i="172"/>
  <c r="D100" i="172" s="1"/>
  <c r="AC92" i="140"/>
  <c r="F99" i="100"/>
  <c r="H99" i="100"/>
  <c r="G99" i="100"/>
  <c r="I99" i="100"/>
  <c r="O99" i="100"/>
  <c r="AB99" i="100"/>
  <c r="M99" i="100"/>
  <c r="W99" i="100"/>
  <c r="P99" i="100"/>
  <c r="V99" i="100"/>
  <c r="Y99" i="100"/>
  <c r="AA99" i="100"/>
  <c r="R99" i="100"/>
  <c r="K99" i="100"/>
  <c r="L99" i="100"/>
  <c r="N99" i="100"/>
  <c r="X99" i="100"/>
  <c r="S99" i="100"/>
  <c r="T99" i="100"/>
  <c r="Z99" i="100"/>
  <c r="U99" i="100"/>
  <c r="Q99" i="100"/>
  <c r="J99" i="100"/>
  <c r="B102" i="100"/>
  <c r="A103" i="100"/>
  <c r="B104" i="173"/>
  <c r="A105" i="173"/>
  <c r="C101" i="100"/>
  <c r="D102" i="173"/>
  <c r="E102" i="173"/>
  <c r="C103" i="173"/>
  <c r="Z101" i="173"/>
  <c r="Q101" i="173"/>
  <c r="T101" i="173"/>
  <c r="P101" i="173"/>
  <c r="O101" i="173"/>
  <c r="L101" i="173"/>
  <c r="R101" i="173"/>
  <c r="K101" i="173"/>
  <c r="M101" i="173"/>
  <c r="V101" i="173"/>
  <c r="Y101" i="173"/>
  <c r="U101" i="173"/>
  <c r="N101" i="173"/>
  <c r="S101" i="173"/>
  <c r="W101" i="173"/>
  <c r="AB101" i="173"/>
  <c r="AA101" i="173"/>
  <c r="X101" i="173"/>
  <c r="J101" i="173"/>
  <c r="D100" i="100"/>
  <c r="E100" i="100"/>
  <c r="H101" i="173"/>
  <c r="G101" i="173"/>
  <c r="I101" i="173"/>
  <c r="F101" i="173"/>
  <c r="I98" i="172"/>
  <c r="AE93" i="140"/>
  <c r="R99" i="172" l="1"/>
  <c r="T99" i="172"/>
  <c r="S99" i="172"/>
  <c r="K98" i="172"/>
  <c r="M98" i="172"/>
  <c r="N98" i="172"/>
  <c r="P98" i="172"/>
  <c r="O99" i="172"/>
  <c r="G100" i="172"/>
  <c r="H100" i="172" s="1"/>
  <c r="Q98" i="172"/>
  <c r="O98" i="172"/>
  <c r="B103" i="172"/>
  <c r="F103" i="172" s="1"/>
  <c r="E103" i="172" s="1"/>
  <c r="C101" i="172"/>
  <c r="D101" i="172" s="1"/>
  <c r="AC93" i="140"/>
  <c r="G100" i="100"/>
  <c r="H100" i="100"/>
  <c r="F100" i="100"/>
  <c r="I100" i="100"/>
  <c r="F102" i="173"/>
  <c r="H102" i="173"/>
  <c r="I102" i="173"/>
  <c r="G102" i="173"/>
  <c r="S100" i="100"/>
  <c r="N100" i="100"/>
  <c r="Q100" i="100"/>
  <c r="X100" i="100"/>
  <c r="Z100" i="100"/>
  <c r="T100" i="100"/>
  <c r="Y100" i="100"/>
  <c r="M100" i="100"/>
  <c r="W100" i="100"/>
  <c r="P100" i="100"/>
  <c r="O100" i="100"/>
  <c r="AA100" i="100"/>
  <c r="U100" i="100"/>
  <c r="K100" i="100"/>
  <c r="L100" i="100"/>
  <c r="R100" i="100"/>
  <c r="V100" i="100"/>
  <c r="AB100" i="100"/>
  <c r="J100" i="100"/>
  <c r="R102" i="173"/>
  <c r="O102" i="173"/>
  <c r="T102" i="173"/>
  <c r="K102" i="173"/>
  <c r="AB102" i="173"/>
  <c r="Z102" i="173"/>
  <c r="N102" i="173"/>
  <c r="X102" i="173"/>
  <c r="Y102" i="173"/>
  <c r="M102" i="173"/>
  <c r="P102" i="173"/>
  <c r="Q102" i="173"/>
  <c r="S102" i="173"/>
  <c r="AA102" i="173"/>
  <c r="W102" i="173"/>
  <c r="U102" i="173"/>
  <c r="L102" i="173"/>
  <c r="V102" i="173"/>
  <c r="J102" i="173"/>
  <c r="D101" i="100"/>
  <c r="E101" i="100"/>
  <c r="B105" i="173"/>
  <c r="A106" i="173"/>
  <c r="E103" i="173"/>
  <c r="D103" i="173"/>
  <c r="C104" i="173"/>
  <c r="B103" i="100"/>
  <c r="A104" i="100"/>
  <c r="C102" i="100"/>
  <c r="AE94" i="140"/>
  <c r="I99" i="172"/>
  <c r="J100" i="172" l="1"/>
  <c r="K99" i="172"/>
  <c r="M99" i="172"/>
  <c r="L99" i="172"/>
  <c r="N99" i="172"/>
  <c r="P99" i="172"/>
  <c r="J101" i="172"/>
  <c r="G101" i="172"/>
  <c r="H101" i="172" s="1"/>
  <c r="Q99" i="172"/>
  <c r="B104" i="172"/>
  <c r="F104" i="172" s="1"/>
  <c r="E104" i="172" s="1"/>
  <c r="C102" i="172"/>
  <c r="D102" i="172" s="1"/>
  <c r="AC94" i="140"/>
  <c r="D102" i="100"/>
  <c r="E102" i="100"/>
  <c r="I103" i="173"/>
  <c r="G103" i="173"/>
  <c r="F103" i="173"/>
  <c r="H103" i="173"/>
  <c r="B106" i="173"/>
  <c r="A107" i="173"/>
  <c r="D104" i="173"/>
  <c r="E104" i="173"/>
  <c r="M103" i="173"/>
  <c r="N103" i="173"/>
  <c r="S103" i="173"/>
  <c r="R103" i="173"/>
  <c r="T103" i="173"/>
  <c r="V103" i="173"/>
  <c r="X103" i="173"/>
  <c r="AA103" i="173"/>
  <c r="Z103" i="173"/>
  <c r="K103" i="173"/>
  <c r="U103" i="173"/>
  <c r="Q103" i="173"/>
  <c r="L103" i="173"/>
  <c r="Y103" i="173"/>
  <c r="P103" i="173"/>
  <c r="W103" i="173"/>
  <c r="O103" i="173"/>
  <c r="AB103" i="173"/>
  <c r="J103" i="173"/>
  <c r="B104" i="100"/>
  <c r="A105" i="100"/>
  <c r="C103" i="100"/>
  <c r="G101" i="100"/>
  <c r="H101" i="100"/>
  <c r="I101" i="100"/>
  <c r="F101" i="100"/>
  <c r="C105" i="173"/>
  <c r="U101" i="100"/>
  <c r="W101" i="100"/>
  <c r="Z101" i="100"/>
  <c r="Q101" i="100"/>
  <c r="AA101" i="100"/>
  <c r="S101" i="100"/>
  <c r="AB101" i="100"/>
  <c r="L101" i="100"/>
  <c r="R101" i="100"/>
  <c r="V101" i="100"/>
  <c r="O101" i="100"/>
  <c r="P101" i="100"/>
  <c r="M101" i="100"/>
  <c r="T101" i="100"/>
  <c r="X101" i="100"/>
  <c r="N101" i="100"/>
  <c r="Y101" i="100"/>
  <c r="K101" i="100"/>
  <c r="J101" i="100"/>
  <c r="AE95" i="140"/>
  <c r="I100" i="172"/>
  <c r="I101" i="172"/>
  <c r="R101" i="172" l="1"/>
  <c r="S101" i="172"/>
  <c r="T101" i="172"/>
  <c r="R100" i="172"/>
  <c r="S100" i="172"/>
  <c r="T100" i="172"/>
  <c r="M100" i="172"/>
  <c r="L100" i="172"/>
  <c r="N100" i="172"/>
  <c r="O100" i="172"/>
  <c r="K100" i="172"/>
  <c r="P100" i="172"/>
  <c r="Q100" i="172"/>
  <c r="Q101" i="172"/>
  <c r="P101" i="172"/>
  <c r="M101" i="172"/>
  <c r="J102" i="172"/>
  <c r="G102" i="172"/>
  <c r="H102" i="172" s="1"/>
  <c r="N101" i="172"/>
  <c r="L101" i="172"/>
  <c r="O101" i="172"/>
  <c r="K101" i="172"/>
  <c r="B105" i="172"/>
  <c r="F105" i="172" s="1"/>
  <c r="E105" i="172" s="1"/>
  <c r="C103" i="172"/>
  <c r="D103" i="172" s="1"/>
  <c r="AC95" i="140"/>
  <c r="B105" i="100"/>
  <c r="A106" i="100"/>
  <c r="U104" i="173"/>
  <c r="AA104" i="173"/>
  <c r="T104" i="173"/>
  <c r="AB104" i="173"/>
  <c r="K104" i="173"/>
  <c r="V104" i="173"/>
  <c r="L104" i="173"/>
  <c r="R104" i="173"/>
  <c r="N104" i="173"/>
  <c r="Q104" i="173"/>
  <c r="O104" i="173"/>
  <c r="M104" i="173"/>
  <c r="Y104" i="173"/>
  <c r="S104" i="173"/>
  <c r="P104" i="173"/>
  <c r="W104" i="173"/>
  <c r="X104" i="173"/>
  <c r="Z104" i="173"/>
  <c r="J104" i="173"/>
  <c r="C104" i="100"/>
  <c r="E105" i="173"/>
  <c r="D105" i="173"/>
  <c r="F102" i="100"/>
  <c r="I102" i="100"/>
  <c r="G102" i="100"/>
  <c r="H102" i="100"/>
  <c r="B107" i="173"/>
  <c r="A108" i="173"/>
  <c r="Y102" i="100"/>
  <c r="T102" i="100"/>
  <c r="Q102" i="100"/>
  <c r="M102" i="100"/>
  <c r="P102" i="100"/>
  <c r="AA102" i="100"/>
  <c r="N102" i="100"/>
  <c r="S102" i="100"/>
  <c r="U102" i="100"/>
  <c r="Z102" i="100"/>
  <c r="O102" i="100"/>
  <c r="AB102" i="100"/>
  <c r="W102" i="100"/>
  <c r="L102" i="100"/>
  <c r="X102" i="100"/>
  <c r="V102" i="100"/>
  <c r="R102" i="100"/>
  <c r="K102" i="100"/>
  <c r="J102" i="100"/>
  <c r="D103" i="100"/>
  <c r="E103" i="100"/>
  <c r="G104" i="173"/>
  <c r="I104" i="173"/>
  <c r="F104" i="173"/>
  <c r="H104" i="173"/>
  <c r="C106" i="173"/>
  <c r="AE96" i="140"/>
  <c r="S102" i="172" l="1"/>
  <c r="T102" i="172"/>
  <c r="R102" i="172"/>
  <c r="J103" i="172"/>
  <c r="G103" i="172"/>
  <c r="H103" i="172" s="1"/>
  <c r="K102" i="172"/>
  <c r="C104" i="172"/>
  <c r="D104" i="172" s="1"/>
  <c r="B106" i="172"/>
  <c r="F106" i="172" s="1"/>
  <c r="E106" i="172" s="1"/>
  <c r="AC96" i="140"/>
  <c r="C107" i="173"/>
  <c r="G105" i="173"/>
  <c r="F105" i="173"/>
  <c r="I105" i="173"/>
  <c r="H105" i="173"/>
  <c r="D106" i="173"/>
  <c r="E106" i="173"/>
  <c r="B106" i="100"/>
  <c r="A107" i="100"/>
  <c r="I103" i="100"/>
  <c r="H103" i="100"/>
  <c r="F103" i="100"/>
  <c r="G103" i="100"/>
  <c r="R103" i="100"/>
  <c r="Q103" i="100"/>
  <c r="N103" i="100"/>
  <c r="L103" i="100"/>
  <c r="T103" i="100"/>
  <c r="M103" i="100"/>
  <c r="Z103" i="100"/>
  <c r="AA103" i="100"/>
  <c r="AB103" i="100"/>
  <c r="O103" i="100"/>
  <c r="S103" i="100"/>
  <c r="K103" i="100"/>
  <c r="Y103" i="100"/>
  <c r="P103" i="100"/>
  <c r="U103" i="100"/>
  <c r="W103" i="100"/>
  <c r="V103" i="100"/>
  <c r="X103" i="100"/>
  <c r="J103" i="100"/>
  <c r="C105" i="100"/>
  <c r="B108" i="173"/>
  <c r="A109" i="173"/>
  <c r="T105" i="173"/>
  <c r="P105" i="173"/>
  <c r="S105" i="173"/>
  <c r="V105" i="173"/>
  <c r="O105" i="173"/>
  <c r="AB105" i="173"/>
  <c r="X105" i="173"/>
  <c r="U105" i="173"/>
  <c r="M105" i="173"/>
  <c r="Q105" i="173"/>
  <c r="Z105" i="173"/>
  <c r="K105" i="173"/>
  <c r="R105" i="173"/>
  <c r="Y105" i="173"/>
  <c r="L105" i="173"/>
  <c r="N105" i="173"/>
  <c r="AA105" i="173"/>
  <c r="W105" i="173"/>
  <c r="J105" i="173"/>
  <c r="D104" i="100"/>
  <c r="E104" i="100"/>
  <c r="I102" i="172"/>
  <c r="AE97" i="140"/>
  <c r="R103" i="172" l="1"/>
  <c r="S103" i="172"/>
  <c r="T103" i="172"/>
  <c r="P102" i="172"/>
  <c r="O102" i="172"/>
  <c r="Q102" i="172"/>
  <c r="G104" i="172"/>
  <c r="H104" i="172" s="1"/>
  <c r="J104" i="172"/>
  <c r="N102" i="172"/>
  <c r="M102" i="172"/>
  <c r="L102" i="172"/>
  <c r="K103" i="172"/>
  <c r="B107" i="172"/>
  <c r="F107" i="172" s="1"/>
  <c r="E107" i="172" s="1"/>
  <c r="C105" i="172"/>
  <c r="D105" i="172" s="1"/>
  <c r="AC97" i="140"/>
  <c r="Q104" i="100"/>
  <c r="AB104" i="100"/>
  <c r="Z104" i="100"/>
  <c r="Y104" i="100"/>
  <c r="W104" i="100"/>
  <c r="O104" i="100"/>
  <c r="U104" i="100"/>
  <c r="M104" i="100"/>
  <c r="P104" i="100"/>
  <c r="L104" i="100"/>
  <c r="S104" i="100"/>
  <c r="N104" i="100"/>
  <c r="R104" i="100"/>
  <c r="T104" i="100"/>
  <c r="V104" i="100"/>
  <c r="X104" i="100"/>
  <c r="K104" i="100"/>
  <c r="AA104" i="100"/>
  <c r="J104" i="100"/>
  <c r="B107" i="100"/>
  <c r="A108" i="100"/>
  <c r="B109" i="173"/>
  <c r="A110" i="173"/>
  <c r="C108" i="173"/>
  <c r="D105" i="100"/>
  <c r="E105" i="100"/>
  <c r="F106" i="173"/>
  <c r="G106" i="173"/>
  <c r="H106" i="173"/>
  <c r="I106" i="173"/>
  <c r="E107" i="173"/>
  <c r="D107" i="173"/>
  <c r="C106" i="100"/>
  <c r="H104" i="100"/>
  <c r="G104" i="100"/>
  <c r="F104" i="100"/>
  <c r="I104" i="100"/>
  <c r="S106" i="173"/>
  <c r="O106" i="173"/>
  <c r="Z106" i="173"/>
  <c r="R106" i="173"/>
  <c r="V106" i="173"/>
  <c r="N106" i="173"/>
  <c r="AA106" i="173"/>
  <c r="P106" i="173"/>
  <c r="X106" i="173"/>
  <c r="W106" i="173"/>
  <c r="Q106" i="173"/>
  <c r="T106" i="173"/>
  <c r="Y106" i="173"/>
  <c r="U106" i="173"/>
  <c r="L106" i="173"/>
  <c r="K106" i="173"/>
  <c r="M106" i="173"/>
  <c r="AB106" i="173"/>
  <c r="J106" i="173"/>
  <c r="AE98" i="140"/>
  <c r="I103" i="172"/>
  <c r="R104" i="172" l="1"/>
  <c r="S104" i="172"/>
  <c r="T104" i="172"/>
  <c r="P103" i="172"/>
  <c r="L104" i="172"/>
  <c r="N103" i="172"/>
  <c r="Q103" i="172"/>
  <c r="G105" i="172"/>
  <c r="H105" i="172" s="1"/>
  <c r="M103" i="172"/>
  <c r="O103" i="172"/>
  <c r="L103" i="172"/>
  <c r="C106" i="172"/>
  <c r="D106" i="172" s="1"/>
  <c r="B108" i="172"/>
  <c r="F108" i="172" s="1"/>
  <c r="E108" i="172" s="1"/>
  <c r="C109" i="173"/>
  <c r="I105" i="100"/>
  <c r="F105" i="100"/>
  <c r="H105" i="100"/>
  <c r="G105" i="100"/>
  <c r="AA105" i="100"/>
  <c r="U105" i="100"/>
  <c r="P105" i="100"/>
  <c r="V105" i="100"/>
  <c r="O105" i="100"/>
  <c r="AB105" i="100"/>
  <c r="Q105" i="100"/>
  <c r="S105" i="100"/>
  <c r="Y105" i="100"/>
  <c r="R105" i="100"/>
  <c r="N105" i="100"/>
  <c r="Z105" i="100"/>
  <c r="T105" i="100"/>
  <c r="X105" i="100"/>
  <c r="L105" i="100"/>
  <c r="M105" i="100"/>
  <c r="K105" i="100"/>
  <c r="W105" i="100"/>
  <c r="J105" i="100"/>
  <c r="B108" i="100"/>
  <c r="A109" i="100"/>
  <c r="D106" i="100"/>
  <c r="E106" i="100"/>
  <c r="L107" i="173"/>
  <c r="M107" i="173"/>
  <c r="Q107" i="173"/>
  <c r="V107" i="173"/>
  <c r="P107" i="173"/>
  <c r="R107" i="173"/>
  <c r="X107" i="173"/>
  <c r="S107" i="173"/>
  <c r="U107" i="173"/>
  <c r="Y107" i="173"/>
  <c r="K107" i="173"/>
  <c r="AA107" i="173"/>
  <c r="N107" i="173"/>
  <c r="Z107" i="173"/>
  <c r="O107" i="173"/>
  <c r="W107" i="173"/>
  <c r="AB107" i="173"/>
  <c r="T107" i="173"/>
  <c r="J107" i="173"/>
  <c r="C107" i="100"/>
  <c r="G107" i="173"/>
  <c r="I107" i="173"/>
  <c r="F107" i="173"/>
  <c r="H107" i="173"/>
  <c r="E108" i="173"/>
  <c r="D108" i="173"/>
  <c r="B110" i="173"/>
  <c r="A111" i="173"/>
  <c r="AF50" i="140"/>
  <c r="AG50" i="140" s="1"/>
  <c r="AF30" i="140"/>
  <c r="AG30" i="140" s="1"/>
  <c r="AF48" i="140"/>
  <c r="AG48" i="140" s="1"/>
  <c r="AF68" i="140"/>
  <c r="AG68" i="140" s="1"/>
  <c r="AF56" i="140"/>
  <c r="AG56" i="140" s="1"/>
  <c r="AF29" i="140"/>
  <c r="AG29" i="140" s="1"/>
  <c r="AF33" i="140"/>
  <c r="AG33" i="140" s="1"/>
  <c r="AF9" i="140"/>
  <c r="AF21" i="140"/>
  <c r="AG21" i="140" s="1"/>
  <c r="AF54" i="140"/>
  <c r="AG54" i="140" s="1"/>
  <c r="AF16" i="140"/>
  <c r="AG16" i="140" s="1"/>
  <c r="AF70" i="140"/>
  <c r="AG70" i="140" s="1"/>
  <c r="AF24" i="140"/>
  <c r="AG24" i="140" s="1"/>
  <c r="AF94" i="140"/>
  <c r="AG94" i="140" s="1"/>
  <c r="AF45" i="140"/>
  <c r="AG45" i="140" s="1"/>
  <c r="AF7" i="140"/>
  <c r="AF41" i="140"/>
  <c r="AG41" i="140" s="1"/>
  <c r="AF83" i="140"/>
  <c r="AG83" i="140" s="1"/>
  <c r="AF74" i="140"/>
  <c r="AG74" i="140" s="1"/>
  <c r="AF60" i="140"/>
  <c r="AG60" i="140" s="1"/>
  <c r="AF25" i="140"/>
  <c r="AG25" i="140" s="1"/>
  <c r="AF93" i="140"/>
  <c r="AG93" i="140" s="1"/>
  <c r="AF66" i="140"/>
  <c r="AG66" i="140" s="1"/>
  <c r="AF53" i="140"/>
  <c r="AG53" i="140" s="1"/>
  <c r="AF62" i="140"/>
  <c r="AG62" i="140" s="1"/>
  <c r="AF51" i="140"/>
  <c r="AG51" i="140" s="1"/>
  <c r="AF58" i="140"/>
  <c r="AG58" i="140" s="1"/>
  <c r="AF27" i="140"/>
  <c r="AG27" i="140" s="1"/>
  <c r="AF18" i="140"/>
  <c r="AG18" i="140" s="1"/>
  <c r="AF40" i="140"/>
  <c r="AG40" i="140" s="1"/>
  <c r="AF22" i="140"/>
  <c r="AG22" i="140" s="1"/>
  <c r="AF82" i="140"/>
  <c r="AG82" i="140" s="1"/>
  <c r="AF72" i="140"/>
  <c r="AG72" i="140" s="1"/>
  <c r="AF39" i="140"/>
  <c r="AG39" i="140" s="1"/>
  <c r="AF42" i="140"/>
  <c r="AG42" i="140" s="1"/>
  <c r="AF97" i="140"/>
  <c r="AG97" i="140" s="1"/>
  <c r="AF43" i="140"/>
  <c r="AG43" i="140" s="1"/>
  <c r="AF14" i="140"/>
  <c r="AG14" i="140" s="1"/>
  <c r="AF2" i="140"/>
  <c r="AG2" i="140" s="1"/>
  <c r="AF85" i="140"/>
  <c r="AG85" i="140" s="1"/>
  <c r="AF36" i="140"/>
  <c r="AG36" i="140" s="1"/>
  <c r="AF76" i="140"/>
  <c r="AG76" i="140" s="1"/>
  <c r="AF75" i="140"/>
  <c r="AG75" i="140" s="1"/>
  <c r="AF57" i="140"/>
  <c r="AG57" i="140" s="1"/>
  <c r="AF59" i="140"/>
  <c r="AG59" i="140" s="1"/>
  <c r="AF37" i="140"/>
  <c r="AG37" i="140" s="1"/>
  <c r="AF64" i="140"/>
  <c r="AG64" i="140" s="1"/>
  <c r="AF78" i="140"/>
  <c r="AG78" i="140" s="1"/>
  <c r="AF12" i="140"/>
  <c r="AG12" i="140" s="1"/>
  <c r="AF32" i="140"/>
  <c r="AG32" i="140" s="1"/>
  <c r="AF55" i="140"/>
  <c r="AG55" i="140" s="1"/>
  <c r="AF17" i="140"/>
  <c r="AG17" i="140" s="1"/>
  <c r="AF63" i="140"/>
  <c r="AG63" i="140" s="1"/>
  <c r="AF19" i="140"/>
  <c r="AG19" i="140" s="1"/>
  <c r="AF4" i="140"/>
  <c r="AF77" i="140"/>
  <c r="AG77" i="140" s="1"/>
  <c r="AF95" i="140"/>
  <c r="AG95" i="140" s="1"/>
  <c r="AF20" i="140"/>
  <c r="AG20" i="140" s="1"/>
  <c r="AF3" i="140"/>
  <c r="AF79" i="140"/>
  <c r="AG79" i="140" s="1"/>
  <c r="AF65" i="140"/>
  <c r="AG65" i="140" s="1"/>
  <c r="AF69" i="140"/>
  <c r="AG69" i="140" s="1"/>
  <c r="AF47" i="140"/>
  <c r="AG47" i="140" s="1"/>
  <c r="AF90" i="140"/>
  <c r="AG90" i="140" s="1"/>
  <c r="AF84" i="140"/>
  <c r="AG84" i="140" s="1"/>
  <c r="AF8" i="140"/>
  <c r="AF35" i="140"/>
  <c r="AG35" i="140" s="1"/>
  <c r="AF11" i="140"/>
  <c r="AG11" i="140" s="1"/>
  <c r="AF5" i="140"/>
  <c r="AF23" i="140"/>
  <c r="AG23" i="140" s="1"/>
  <c r="AF61" i="140"/>
  <c r="AG61" i="140" s="1"/>
  <c r="AF44" i="140"/>
  <c r="AG44" i="140" s="1"/>
  <c r="AF87" i="140"/>
  <c r="AG87" i="140" s="1"/>
  <c r="AF34" i="140"/>
  <c r="AG34" i="140" s="1"/>
  <c r="AF92" i="140"/>
  <c r="AG92" i="140" s="1"/>
  <c r="AF71" i="140"/>
  <c r="AG71" i="140" s="1"/>
  <c r="AF38" i="140"/>
  <c r="AG38" i="140" s="1"/>
  <c r="AF46" i="140"/>
  <c r="AG46" i="140" s="1"/>
  <c r="AF89" i="140"/>
  <c r="AG89" i="140" s="1"/>
  <c r="AF96" i="140"/>
  <c r="AG96" i="140" s="1"/>
  <c r="AF49" i="140"/>
  <c r="AG49" i="140" s="1"/>
  <c r="AF26" i="140"/>
  <c r="AG26" i="140" s="1"/>
  <c r="AF88" i="140"/>
  <c r="AG88" i="140" s="1"/>
  <c r="AF13" i="140"/>
  <c r="AG13" i="140" s="1"/>
  <c r="AF6" i="140"/>
  <c r="AF15" i="140"/>
  <c r="AG15" i="140" s="1"/>
  <c r="AF52" i="140"/>
  <c r="AG52" i="140" s="1"/>
  <c r="AF73" i="140"/>
  <c r="AG73" i="140" s="1"/>
  <c r="AF28" i="140"/>
  <c r="AG28" i="140" s="1"/>
  <c r="AF67" i="140"/>
  <c r="AG67" i="140" s="1"/>
  <c r="AF31" i="140"/>
  <c r="AG31" i="140" s="1"/>
  <c r="AF86" i="140"/>
  <c r="AG86" i="140" s="1"/>
  <c r="AF80" i="140"/>
  <c r="AG80" i="140" s="1"/>
  <c r="AF81" i="140"/>
  <c r="AG81" i="140" s="1"/>
  <c r="AF91" i="140"/>
  <c r="AG91" i="140" s="1"/>
  <c r="AF10" i="140"/>
  <c r="AG10" i="140" s="1"/>
  <c r="AE99" i="140"/>
  <c r="I104" i="172"/>
  <c r="AG8" i="140" l="1"/>
  <c r="AG7" i="140"/>
  <c r="AG9" i="140"/>
  <c r="AG6" i="140"/>
  <c r="AG5" i="140"/>
  <c r="AG3" i="140"/>
  <c r="AG4" i="140"/>
  <c r="J105" i="172"/>
  <c r="K104" i="172"/>
  <c r="O104" i="172"/>
  <c r="M104" i="172"/>
  <c r="N104" i="172"/>
  <c r="P104" i="172"/>
  <c r="G106" i="172"/>
  <c r="H106" i="172" s="1"/>
  <c r="J106" i="172"/>
  <c r="Q104" i="172"/>
  <c r="B109" i="172"/>
  <c r="F109" i="172" s="1"/>
  <c r="E109" i="172" s="1"/>
  <c r="C107" i="172"/>
  <c r="D107" i="172" s="1"/>
  <c r="B111" i="173"/>
  <c r="A112" i="173"/>
  <c r="C110" i="173"/>
  <c r="D107" i="100"/>
  <c r="E107" i="100"/>
  <c r="G106" i="100"/>
  <c r="H106" i="100"/>
  <c r="F106" i="100"/>
  <c r="I106" i="100"/>
  <c r="Y108" i="173"/>
  <c r="P108" i="173"/>
  <c r="M108" i="173"/>
  <c r="T108" i="173"/>
  <c r="AA108" i="173"/>
  <c r="K108" i="173"/>
  <c r="R108" i="173"/>
  <c r="O108" i="173"/>
  <c r="W108" i="173"/>
  <c r="Q108" i="173"/>
  <c r="N108" i="173"/>
  <c r="V108" i="173"/>
  <c r="X108" i="173"/>
  <c r="AB108" i="173"/>
  <c r="Z108" i="173"/>
  <c r="S108" i="173"/>
  <c r="U108" i="173"/>
  <c r="L108" i="173"/>
  <c r="J108" i="173"/>
  <c r="S106" i="100"/>
  <c r="T106" i="100"/>
  <c r="P106" i="100"/>
  <c r="M106" i="100"/>
  <c r="AA106" i="100"/>
  <c r="Q106" i="100"/>
  <c r="Z106" i="100"/>
  <c r="V106" i="100"/>
  <c r="L106" i="100"/>
  <c r="AB106" i="100"/>
  <c r="O106" i="100"/>
  <c r="N106" i="100"/>
  <c r="X106" i="100"/>
  <c r="W106" i="100"/>
  <c r="Y106" i="100"/>
  <c r="U106" i="100"/>
  <c r="R106" i="100"/>
  <c r="K106" i="100"/>
  <c r="J106" i="100"/>
  <c r="G108" i="173"/>
  <c r="H108" i="173"/>
  <c r="F108" i="173"/>
  <c r="I108" i="173"/>
  <c r="B109" i="100"/>
  <c r="A110" i="100"/>
  <c r="E109" i="173"/>
  <c r="D109" i="173"/>
  <c r="C108" i="100"/>
  <c r="I105" i="172"/>
  <c r="AE100" i="140"/>
  <c r="I106" i="172"/>
  <c r="R106" i="172" l="1"/>
  <c r="S106" i="172"/>
  <c r="T106" i="172"/>
  <c r="R105" i="172"/>
  <c r="S105" i="172"/>
  <c r="T105" i="172"/>
  <c r="N105" i="172"/>
  <c r="L105" i="172"/>
  <c r="Q105" i="172"/>
  <c r="K105" i="172"/>
  <c r="O105" i="172"/>
  <c r="M105" i="172"/>
  <c r="P105" i="172"/>
  <c r="Q106" i="172"/>
  <c r="P106" i="172"/>
  <c r="G107" i="172"/>
  <c r="H107" i="172" s="1"/>
  <c r="K106" i="172"/>
  <c r="L106" i="172"/>
  <c r="M106" i="172"/>
  <c r="O106" i="172"/>
  <c r="N106" i="172"/>
  <c r="B110" i="172"/>
  <c r="F110" i="172" s="1"/>
  <c r="E110" i="172" s="1"/>
  <c r="C108" i="172"/>
  <c r="D108" i="172" s="1"/>
  <c r="D108" i="100"/>
  <c r="E108" i="100"/>
  <c r="B110" i="100"/>
  <c r="A111" i="100"/>
  <c r="I107" i="100"/>
  <c r="H107" i="100"/>
  <c r="G107" i="100"/>
  <c r="F107" i="100"/>
  <c r="C109" i="100"/>
  <c r="K107" i="100"/>
  <c r="X107" i="100"/>
  <c r="W107" i="100"/>
  <c r="S107" i="100"/>
  <c r="AA107" i="100"/>
  <c r="Z107" i="100"/>
  <c r="U107" i="100"/>
  <c r="P107" i="100"/>
  <c r="R107" i="100"/>
  <c r="L107" i="100"/>
  <c r="Y107" i="100"/>
  <c r="AB107" i="100"/>
  <c r="V107" i="100"/>
  <c r="T107" i="100"/>
  <c r="Q107" i="100"/>
  <c r="M107" i="100"/>
  <c r="O107" i="100"/>
  <c r="N107" i="100"/>
  <c r="J107" i="100"/>
  <c r="I109" i="173"/>
  <c r="G109" i="173"/>
  <c r="H109" i="173"/>
  <c r="F109" i="173"/>
  <c r="D110" i="173"/>
  <c r="E110" i="173"/>
  <c r="B112" i="173"/>
  <c r="A113" i="173"/>
  <c r="C111" i="173"/>
  <c r="M109" i="173"/>
  <c r="V109" i="173"/>
  <c r="K109" i="173"/>
  <c r="Q109" i="173"/>
  <c r="Y109" i="173"/>
  <c r="Z109" i="173"/>
  <c r="L109" i="173"/>
  <c r="T109" i="173"/>
  <c r="X109" i="173"/>
  <c r="N109" i="173"/>
  <c r="AA109" i="173"/>
  <c r="U109" i="173"/>
  <c r="AB109" i="173"/>
  <c r="O109" i="173"/>
  <c r="P109" i="173"/>
  <c r="R109" i="173"/>
  <c r="S109" i="173"/>
  <c r="W109" i="173"/>
  <c r="J109" i="173"/>
  <c r="AE101" i="140"/>
  <c r="J107" i="172" l="1"/>
  <c r="G108" i="172"/>
  <c r="H108" i="172" s="1"/>
  <c r="J108" i="172"/>
  <c r="B111" i="172"/>
  <c r="F111" i="172" s="1"/>
  <c r="E111" i="172" s="1"/>
  <c r="C109" i="172"/>
  <c r="D109" i="172" s="1"/>
  <c r="C112" i="173"/>
  <c r="H110" i="173"/>
  <c r="F110" i="173"/>
  <c r="G110" i="173"/>
  <c r="I110" i="173"/>
  <c r="R110" i="173"/>
  <c r="L110" i="173"/>
  <c r="Z110" i="173"/>
  <c r="N110" i="173"/>
  <c r="T110" i="173"/>
  <c r="S110" i="173"/>
  <c r="Y110" i="173"/>
  <c r="X110" i="173"/>
  <c r="Q110" i="173"/>
  <c r="M110" i="173"/>
  <c r="P110" i="173"/>
  <c r="W110" i="173"/>
  <c r="AB110" i="173"/>
  <c r="U110" i="173"/>
  <c r="V110" i="173"/>
  <c r="AA110" i="173"/>
  <c r="O110" i="173"/>
  <c r="K110" i="173"/>
  <c r="J110" i="173"/>
  <c r="B111" i="100"/>
  <c r="A112" i="100"/>
  <c r="E111" i="173"/>
  <c r="D111" i="173"/>
  <c r="C110" i="100"/>
  <c r="F108" i="100"/>
  <c r="I108" i="100"/>
  <c r="H108" i="100"/>
  <c r="G108" i="100"/>
  <c r="B113" i="173"/>
  <c r="A114" i="173"/>
  <c r="E109" i="100"/>
  <c r="D109" i="100"/>
  <c r="X108" i="100"/>
  <c r="Y108" i="100"/>
  <c r="S108" i="100"/>
  <c r="AB108" i="100"/>
  <c r="P108" i="100"/>
  <c r="N108" i="100"/>
  <c r="T108" i="100"/>
  <c r="Z108" i="100"/>
  <c r="R108" i="100"/>
  <c r="Q108" i="100"/>
  <c r="W108" i="100"/>
  <c r="O108" i="100"/>
  <c r="U108" i="100"/>
  <c r="K108" i="100"/>
  <c r="V108" i="100"/>
  <c r="AA108" i="100"/>
  <c r="L108" i="100"/>
  <c r="M108" i="100"/>
  <c r="J108" i="100"/>
  <c r="AE102" i="140"/>
  <c r="I108" i="172"/>
  <c r="I107" i="172"/>
  <c r="R108" i="172" l="1"/>
  <c r="S108" i="172"/>
  <c r="T108" i="172"/>
  <c r="T107" i="172"/>
  <c r="S107" i="172"/>
  <c r="R107" i="172"/>
  <c r="Q107" i="172"/>
  <c r="N107" i="172"/>
  <c r="L107" i="172"/>
  <c r="M107" i="172"/>
  <c r="K107" i="172"/>
  <c r="P107" i="172"/>
  <c r="O107" i="172"/>
  <c r="Q108" i="172"/>
  <c r="P108" i="172"/>
  <c r="G109" i="172"/>
  <c r="H109" i="172" s="1"/>
  <c r="K108" i="172"/>
  <c r="O108" i="172"/>
  <c r="M108" i="172"/>
  <c r="N108" i="172"/>
  <c r="L108" i="172"/>
  <c r="B112" i="172"/>
  <c r="F112" i="172" s="1"/>
  <c r="E112" i="172" s="1"/>
  <c r="C110" i="172"/>
  <c r="D110" i="172" s="1"/>
  <c r="I109" i="100"/>
  <c r="H109" i="100"/>
  <c r="G109" i="100"/>
  <c r="F109" i="100"/>
  <c r="B114" i="173"/>
  <c r="A115" i="173"/>
  <c r="C113" i="173"/>
  <c r="B112" i="100"/>
  <c r="A113" i="100"/>
  <c r="D110" i="100"/>
  <c r="E110" i="100"/>
  <c r="R111" i="173"/>
  <c r="Y111" i="173"/>
  <c r="U111" i="173"/>
  <c r="K111" i="173"/>
  <c r="O111" i="173"/>
  <c r="V111" i="173"/>
  <c r="L111" i="173"/>
  <c r="Z111" i="173"/>
  <c r="S111" i="173"/>
  <c r="W111" i="173"/>
  <c r="X111" i="173"/>
  <c r="N111" i="173"/>
  <c r="P111" i="173"/>
  <c r="Q111" i="173"/>
  <c r="AA111" i="173"/>
  <c r="M111" i="173"/>
  <c r="T111" i="173"/>
  <c r="AB111" i="173"/>
  <c r="J111" i="173"/>
  <c r="C111" i="100"/>
  <c r="F111" i="173"/>
  <c r="G111" i="173"/>
  <c r="H111" i="173"/>
  <c r="I111" i="173"/>
  <c r="E112" i="173"/>
  <c r="D112" i="173"/>
  <c r="Q109" i="100"/>
  <c r="M109" i="100"/>
  <c r="T109" i="100"/>
  <c r="L109" i="100"/>
  <c r="N109" i="100"/>
  <c r="AB109" i="100"/>
  <c r="U109" i="100"/>
  <c r="Z109" i="100"/>
  <c r="W109" i="100"/>
  <c r="AA109" i="100"/>
  <c r="O109" i="100"/>
  <c r="P109" i="100"/>
  <c r="S109" i="100"/>
  <c r="X109" i="100"/>
  <c r="V109" i="100"/>
  <c r="K109" i="100"/>
  <c r="R109" i="100"/>
  <c r="Y109" i="100"/>
  <c r="J109" i="100"/>
  <c r="AE103" i="140"/>
  <c r="J109" i="172" l="1"/>
  <c r="J110" i="172"/>
  <c r="G110" i="172"/>
  <c r="H110" i="172" s="1"/>
  <c r="B113" i="172"/>
  <c r="F113" i="172" s="1"/>
  <c r="E113" i="172" s="1"/>
  <c r="C111" i="172"/>
  <c r="D111" i="172" s="1"/>
  <c r="W110" i="100"/>
  <c r="K110" i="100"/>
  <c r="M110" i="100"/>
  <c r="U110" i="100"/>
  <c r="V110" i="100"/>
  <c r="P110" i="100"/>
  <c r="S110" i="100"/>
  <c r="R110" i="100"/>
  <c r="T110" i="100"/>
  <c r="L110" i="100"/>
  <c r="AA110" i="100"/>
  <c r="Z110" i="100"/>
  <c r="Q110" i="100"/>
  <c r="N110" i="100"/>
  <c r="Y110" i="100"/>
  <c r="O110" i="100"/>
  <c r="X110" i="100"/>
  <c r="AB110" i="100"/>
  <c r="J110" i="100"/>
  <c r="B113" i="100"/>
  <c r="A114" i="100"/>
  <c r="E111" i="100"/>
  <c r="D111" i="100"/>
  <c r="C112" i="100"/>
  <c r="B115" i="173"/>
  <c r="A116" i="173"/>
  <c r="S112" i="173"/>
  <c r="Z112" i="173"/>
  <c r="Y112" i="173"/>
  <c r="P112" i="173"/>
  <c r="T112" i="173"/>
  <c r="U112" i="173"/>
  <c r="Q112" i="173"/>
  <c r="N112" i="173"/>
  <c r="O112" i="173"/>
  <c r="K112" i="173"/>
  <c r="X112" i="173"/>
  <c r="M112" i="173"/>
  <c r="R112" i="173"/>
  <c r="AB112" i="173"/>
  <c r="L112" i="173"/>
  <c r="AA112" i="173"/>
  <c r="V112" i="173"/>
  <c r="W112" i="173"/>
  <c r="J112" i="173"/>
  <c r="H112" i="173"/>
  <c r="F112" i="173"/>
  <c r="I112" i="173"/>
  <c r="G112" i="173"/>
  <c r="D113" i="173"/>
  <c r="E113" i="173"/>
  <c r="C114" i="173"/>
  <c r="F110" i="100"/>
  <c r="H110" i="100"/>
  <c r="G110" i="100"/>
  <c r="I110" i="100"/>
  <c r="AE104" i="140"/>
  <c r="I109" i="172"/>
  <c r="S110" i="172" l="1"/>
  <c r="T110" i="172"/>
  <c r="R110" i="172"/>
  <c r="R109" i="172"/>
  <c r="T109" i="172"/>
  <c r="S109" i="172"/>
  <c r="K109" i="172"/>
  <c r="M109" i="172"/>
  <c r="Q109" i="172"/>
  <c r="O109" i="172"/>
  <c r="N109" i="172"/>
  <c r="P109" i="172"/>
  <c r="L109" i="172"/>
  <c r="G111" i="172"/>
  <c r="H111" i="172" s="1"/>
  <c r="N110" i="172"/>
  <c r="C112" i="172"/>
  <c r="D112" i="172" s="1"/>
  <c r="B114" i="172"/>
  <c r="F114" i="172" s="1"/>
  <c r="E114" i="172" s="1"/>
  <c r="L111" i="100"/>
  <c r="Y111" i="100"/>
  <c r="P111" i="100"/>
  <c r="O111" i="100"/>
  <c r="X111" i="100"/>
  <c r="S111" i="100"/>
  <c r="AB111" i="100"/>
  <c r="R111" i="100"/>
  <c r="V111" i="100"/>
  <c r="AA111" i="100"/>
  <c r="K111" i="100"/>
  <c r="W111" i="100"/>
  <c r="T111" i="100"/>
  <c r="Q111" i="100"/>
  <c r="U111" i="100"/>
  <c r="N111" i="100"/>
  <c r="Z111" i="100"/>
  <c r="M111" i="100"/>
  <c r="J111" i="100"/>
  <c r="E114" i="173"/>
  <c r="D114" i="173"/>
  <c r="G111" i="100"/>
  <c r="I111" i="100"/>
  <c r="F111" i="100"/>
  <c r="H111" i="100"/>
  <c r="G113" i="173"/>
  <c r="I113" i="173"/>
  <c r="F113" i="173"/>
  <c r="H113" i="173"/>
  <c r="S113" i="173"/>
  <c r="K113" i="173"/>
  <c r="X113" i="173"/>
  <c r="W113" i="173"/>
  <c r="AA113" i="173"/>
  <c r="O113" i="173"/>
  <c r="P113" i="173"/>
  <c r="L113" i="173"/>
  <c r="V113" i="173"/>
  <c r="M113" i="173"/>
  <c r="N113" i="173"/>
  <c r="Z113" i="173"/>
  <c r="R113" i="173"/>
  <c r="Q113" i="173"/>
  <c r="U113" i="173"/>
  <c r="Y113" i="173"/>
  <c r="AB113" i="173"/>
  <c r="T113" i="173"/>
  <c r="J113" i="173"/>
  <c r="B114" i="100"/>
  <c r="A115" i="100"/>
  <c r="B116" i="173"/>
  <c r="A117" i="173"/>
  <c r="C113" i="100"/>
  <c r="C115" i="173"/>
  <c r="D112" i="100"/>
  <c r="E112" i="100"/>
  <c r="AE105" i="140"/>
  <c r="I110" i="172"/>
  <c r="J111" i="172" l="1"/>
  <c r="P110" i="172"/>
  <c r="Q110" i="172"/>
  <c r="G112" i="172"/>
  <c r="H112" i="172" s="1"/>
  <c r="J112" i="172"/>
  <c r="M110" i="172"/>
  <c r="K110" i="172"/>
  <c r="L110" i="172"/>
  <c r="O110" i="172"/>
  <c r="C113" i="172"/>
  <c r="D113" i="172" s="1"/>
  <c r="B115" i="172"/>
  <c r="F115" i="172" s="1"/>
  <c r="E115" i="172" s="1"/>
  <c r="B115" i="100"/>
  <c r="A116" i="100"/>
  <c r="C114" i="100"/>
  <c r="D115" i="173"/>
  <c r="E115" i="173"/>
  <c r="M114" i="173"/>
  <c r="K114" i="173"/>
  <c r="Y114" i="173"/>
  <c r="U114" i="173"/>
  <c r="V114" i="173"/>
  <c r="X114" i="173"/>
  <c r="Q114" i="173"/>
  <c r="L114" i="173"/>
  <c r="O114" i="173"/>
  <c r="S114" i="173"/>
  <c r="W114" i="173"/>
  <c r="T114" i="173"/>
  <c r="AB114" i="173"/>
  <c r="N114" i="173"/>
  <c r="R114" i="173"/>
  <c r="AA114" i="173"/>
  <c r="Z114" i="173"/>
  <c r="P114" i="173"/>
  <c r="J114" i="173"/>
  <c r="F114" i="173"/>
  <c r="G114" i="173"/>
  <c r="I114" i="173"/>
  <c r="H114" i="173"/>
  <c r="D113" i="100"/>
  <c r="E113" i="100"/>
  <c r="I112" i="100"/>
  <c r="G112" i="100"/>
  <c r="H112" i="100"/>
  <c r="F112" i="100"/>
  <c r="AA112" i="100"/>
  <c r="N112" i="100"/>
  <c r="W112" i="100"/>
  <c r="K112" i="100"/>
  <c r="S112" i="100"/>
  <c r="O112" i="100"/>
  <c r="M112" i="100"/>
  <c r="X112" i="100"/>
  <c r="V112" i="100"/>
  <c r="Q112" i="100"/>
  <c r="Y112" i="100"/>
  <c r="R112" i="100"/>
  <c r="L112" i="100"/>
  <c r="U112" i="100"/>
  <c r="Z112" i="100"/>
  <c r="AB112" i="100"/>
  <c r="P112" i="100"/>
  <c r="T112" i="100"/>
  <c r="J112" i="100"/>
  <c r="B117" i="173"/>
  <c r="A118" i="173"/>
  <c r="C116" i="173"/>
  <c r="AE106" i="140"/>
  <c r="I111" i="172"/>
  <c r="R112" i="172" l="1"/>
  <c r="S112" i="172"/>
  <c r="T112" i="172"/>
  <c r="R111" i="172"/>
  <c r="T111" i="172"/>
  <c r="S111" i="172"/>
  <c r="M111" i="172"/>
  <c r="L111" i="172"/>
  <c r="K111" i="172"/>
  <c r="N111" i="172"/>
  <c r="O111" i="172"/>
  <c r="P111" i="172"/>
  <c r="Q111" i="172"/>
  <c r="N112" i="172"/>
  <c r="J113" i="172"/>
  <c r="G113" i="172"/>
  <c r="H113" i="172" s="1"/>
  <c r="B116" i="172"/>
  <c r="F116" i="172" s="1"/>
  <c r="E116" i="172" s="1"/>
  <c r="C114" i="172"/>
  <c r="D114" i="172" s="1"/>
  <c r="U113" i="100"/>
  <c r="N113" i="100"/>
  <c r="T113" i="100"/>
  <c r="P113" i="100"/>
  <c r="AB113" i="100"/>
  <c r="O113" i="100"/>
  <c r="AA113" i="100"/>
  <c r="S113" i="100"/>
  <c r="M113" i="100"/>
  <c r="K113" i="100"/>
  <c r="V113" i="100"/>
  <c r="L113" i="100"/>
  <c r="Z113" i="100"/>
  <c r="X113" i="100"/>
  <c r="W113" i="100"/>
  <c r="Y113" i="100"/>
  <c r="Q113" i="100"/>
  <c r="R113" i="100"/>
  <c r="J113" i="100"/>
  <c r="I115" i="173"/>
  <c r="F115" i="173"/>
  <c r="H115" i="173"/>
  <c r="G115" i="173"/>
  <c r="X115" i="173"/>
  <c r="N115" i="173"/>
  <c r="Z115" i="173"/>
  <c r="R115" i="173"/>
  <c r="T115" i="173"/>
  <c r="S115" i="173"/>
  <c r="Q115" i="173"/>
  <c r="O115" i="173"/>
  <c r="M115" i="173"/>
  <c r="Y115" i="173"/>
  <c r="P115" i="173"/>
  <c r="AB115" i="173"/>
  <c r="AA115" i="173"/>
  <c r="W115" i="173"/>
  <c r="V115" i="173"/>
  <c r="K115" i="173"/>
  <c r="L115" i="173"/>
  <c r="U115" i="173"/>
  <c r="J115" i="173"/>
  <c r="D116" i="173"/>
  <c r="E116" i="173"/>
  <c r="B116" i="100"/>
  <c r="A117" i="100"/>
  <c r="C115" i="100"/>
  <c r="D114" i="100"/>
  <c r="E114" i="100"/>
  <c r="B118" i="173"/>
  <c r="A119" i="173"/>
  <c r="C117" i="173"/>
  <c r="F113" i="100"/>
  <c r="H113" i="100"/>
  <c r="I113" i="100"/>
  <c r="G113" i="100"/>
  <c r="AE107" i="140"/>
  <c r="I112" i="172"/>
  <c r="R113" i="172" l="1"/>
  <c r="S113" i="172"/>
  <c r="T113" i="172"/>
  <c r="K112" i="172"/>
  <c r="M112" i="172"/>
  <c r="O112" i="172"/>
  <c r="L112" i="172"/>
  <c r="P112" i="172"/>
  <c r="J114" i="172"/>
  <c r="G114" i="172"/>
  <c r="H114" i="172" s="1"/>
  <c r="L113" i="172"/>
  <c r="Q112" i="172"/>
  <c r="B117" i="172"/>
  <c r="F117" i="172" s="1"/>
  <c r="E117" i="172" s="1"/>
  <c r="C115" i="172"/>
  <c r="D115" i="172" s="1"/>
  <c r="D115" i="100"/>
  <c r="E115" i="100"/>
  <c r="B119" i="173"/>
  <c r="A120" i="173"/>
  <c r="C118" i="173"/>
  <c r="B117" i="100"/>
  <c r="A118" i="100"/>
  <c r="C116" i="100"/>
  <c r="I114" i="100"/>
  <c r="F114" i="100"/>
  <c r="G114" i="100"/>
  <c r="H114" i="100"/>
  <c r="I116" i="173"/>
  <c r="F116" i="173"/>
  <c r="H116" i="173"/>
  <c r="G116" i="173"/>
  <c r="D117" i="173"/>
  <c r="E117" i="173"/>
  <c r="W114" i="100"/>
  <c r="Z114" i="100"/>
  <c r="S114" i="100"/>
  <c r="AA114" i="100"/>
  <c r="AB114" i="100"/>
  <c r="Q114" i="100"/>
  <c r="X114" i="100"/>
  <c r="R114" i="100"/>
  <c r="U114" i="100"/>
  <c r="K114" i="100"/>
  <c r="N114" i="100"/>
  <c r="Y114" i="100"/>
  <c r="P114" i="100"/>
  <c r="V114" i="100"/>
  <c r="O114" i="100"/>
  <c r="T114" i="100"/>
  <c r="L114" i="100"/>
  <c r="M114" i="100"/>
  <c r="J114" i="100"/>
  <c r="Q116" i="173"/>
  <c r="P116" i="173"/>
  <c r="Z116" i="173"/>
  <c r="O116" i="173"/>
  <c r="Y116" i="173"/>
  <c r="AA116" i="173"/>
  <c r="N116" i="173"/>
  <c r="U116" i="173"/>
  <c r="AB116" i="173"/>
  <c r="L116" i="173"/>
  <c r="M116" i="173"/>
  <c r="R116" i="173"/>
  <c r="T116" i="173"/>
  <c r="S116" i="173"/>
  <c r="X116" i="173"/>
  <c r="K116" i="173"/>
  <c r="W116" i="173"/>
  <c r="V116" i="173"/>
  <c r="J116" i="173"/>
  <c r="AE108" i="140"/>
  <c r="I113" i="172"/>
  <c r="S114" i="172" l="1"/>
  <c r="T114" i="172"/>
  <c r="R114" i="172"/>
  <c r="P113" i="172"/>
  <c r="N113" i="172"/>
  <c r="Q113" i="172"/>
  <c r="M113" i="172"/>
  <c r="G115" i="172"/>
  <c r="H115" i="172" s="1"/>
  <c r="J115" i="172"/>
  <c r="O113" i="172"/>
  <c r="N114" i="172"/>
  <c r="K113" i="172"/>
  <c r="B118" i="172"/>
  <c r="F118" i="172" s="1"/>
  <c r="E118" i="172" s="1"/>
  <c r="C116" i="172"/>
  <c r="D116" i="172" s="1"/>
  <c r="D116" i="100"/>
  <c r="E116" i="100"/>
  <c r="E118" i="173"/>
  <c r="D118" i="173"/>
  <c r="B118" i="100"/>
  <c r="A119" i="100"/>
  <c r="C117" i="100"/>
  <c r="B120" i="173"/>
  <c r="A121" i="173"/>
  <c r="C119" i="173"/>
  <c r="I117" i="173"/>
  <c r="F117" i="173"/>
  <c r="G117" i="173"/>
  <c r="H117" i="173"/>
  <c r="G115" i="100"/>
  <c r="I115" i="100"/>
  <c r="F115" i="100"/>
  <c r="H115" i="100"/>
  <c r="W117" i="173"/>
  <c r="AA117" i="173"/>
  <c r="Q117" i="173"/>
  <c r="AB117" i="173"/>
  <c r="S117" i="173"/>
  <c r="K117" i="173"/>
  <c r="Z117" i="173"/>
  <c r="L117" i="173"/>
  <c r="P117" i="173"/>
  <c r="M117" i="173"/>
  <c r="X117" i="173"/>
  <c r="T117" i="173"/>
  <c r="O117" i="173"/>
  <c r="U117" i="173"/>
  <c r="Y117" i="173"/>
  <c r="R117" i="173"/>
  <c r="N117" i="173"/>
  <c r="V117" i="173"/>
  <c r="J117" i="173"/>
  <c r="V115" i="100"/>
  <c r="K115" i="100"/>
  <c r="R115" i="100"/>
  <c r="L115" i="100"/>
  <c r="M115" i="100"/>
  <c r="P115" i="100"/>
  <c r="Z115" i="100"/>
  <c r="U115" i="100"/>
  <c r="O115" i="100"/>
  <c r="AA115" i="100"/>
  <c r="S115" i="100"/>
  <c r="Y115" i="100"/>
  <c r="Q115" i="100"/>
  <c r="X115" i="100"/>
  <c r="W115" i="100"/>
  <c r="T115" i="100"/>
  <c r="AB115" i="100"/>
  <c r="N115" i="100"/>
  <c r="J115" i="100"/>
  <c r="I114" i="172"/>
  <c r="AE109" i="140"/>
  <c r="T115" i="172" l="1"/>
  <c r="S115" i="172"/>
  <c r="R115" i="172"/>
  <c r="P114" i="172"/>
  <c r="K114" i="172"/>
  <c r="Q114" i="172"/>
  <c r="J116" i="172"/>
  <c r="G116" i="172"/>
  <c r="H116" i="172" s="1"/>
  <c r="M114" i="172"/>
  <c r="O114" i="172"/>
  <c r="L114" i="172"/>
  <c r="N115" i="172"/>
  <c r="C117" i="172"/>
  <c r="D117" i="172" s="1"/>
  <c r="B119" i="172"/>
  <c r="F119" i="172" s="1"/>
  <c r="E119" i="172" s="1"/>
  <c r="B119" i="100"/>
  <c r="A120" i="100"/>
  <c r="C118" i="100"/>
  <c r="B121" i="173"/>
  <c r="A122" i="173"/>
  <c r="T118" i="173"/>
  <c r="AB118" i="173"/>
  <c r="S118" i="173"/>
  <c r="X118" i="173"/>
  <c r="R118" i="173"/>
  <c r="M118" i="173"/>
  <c r="L118" i="173"/>
  <c r="K118" i="173"/>
  <c r="Q118" i="173"/>
  <c r="Y118" i="173"/>
  <c r="P118" i="173"/>
  <c r="N118" i="173"/>
  <c r="AA118" i="173"/>
  <c r="O118" i="173"/>
  <c r="W118" i="173"/>
  <c r="V118" i="173"/>
  <c r="U118" i="173"/>
  <c r="Z118" i="173"/>
  <c r="J118" i="173"/>
  <c r="C120" i="173"/>
  <c r="G118" i="173"/>
  <c r="I118" i="173"/>
  <c r="H118" i="173"/>
  <c r="F118" i="173"/>
  <c r="E119" i="173"/>
  <c r="D119" i="173"/>
  <c r="H116" i="100"/>
  <c r="F116" i="100"/>
  <c r="G116" i="100"/>
  <c r="I116" i="100"/>
  <c r="D117" i="100"/>
  <c r="E117" i="100"/>
  <c r="N116" i="100"/>
  <c r="AB116" i="100"/>
  <c r="W116" i="100"/>
  <c r="AA116" i="100"/>
  <c r="P116" i="100"/>
  <c r="K116" i="100"/>
  <c r="O116" i="100"/>
  <c r="Y116" i="100"/>
  <c r="M116" i="100"/>
  <c r="V116" i="100"/>
  <c r="T116" i="100"/>
  <c r="R116" i="100"/>
  <c r="Z116" i="100"/>
  <c r="X116" i="100"/>
  <c r="S116" i="100"/>
  <c r="L116" i="100"/>
  <c r="Q116" i="100"/>
  <c r="U116" i="100"/>
  <c r="J116" i="100"/>
  <c r="I115" i="172"/>
  <c r="AE110" i="140"/>
  <c r="R116" i="172" l="1"/>
  <c r="S116" i="172"/>
  <c r="T116" i="172"/>
  <c r="M115" i="172"/>
  <c r="K115" i="172"/>
  <c r="L115" i="172"/>
  <c r="O115" i="172"/>
  <c r="P115" i="172"/>
  <c r="G117" i="172"/>
  <c r="H117" i="172" s="1"/>
  <c r="Q115" i="172"/>
  <c r="O116" i="172"/>
  <c r="B120" i="172"/>
  <c r="F120" i="172" s="1"/>
  <c r="E120" i="172" s="1"/>
  <c r="C118" i="172"/>
  <c r="D118" i="172" s="1"/>
  <c r="E118" i="100"/>
  <c r="D118" i="100"/>
  <c r="B120" i="100"/>
  <c r="A121" i="100"/>
  <c r="T119" i="173"/>
  <c r="L119" i="173"/>
  <c r="AB119" i="173"/>
  <c r="P119" i="173"/>
  <c r="W119" i="173"/>
  <c r="U119" i="173"/>
  <c r="R119" i="173"/>
  <c r="V119" i="173"/>
  <c r="K119" i="173"/>
  <c r="N119" i="173"/>
  <c r="Y119" i="173"/>
  <c r="X119" i="173"/>
  <c r="AA119" i="173"/>
  <c r="Z119" i="173"/>
  <c r="O119" i="173"/>
  <c r="M119" i="173"/>
  <c r="S119" i="173"/>
  <c r="Q119" i="173"/>
  <c r="J119" i="173"/>
  <c r="F119" i="173"/>
  <c r="H119" i="173"/>
  <c r="G119" i="173"/>
  <c r="I119" i="173"/>
  <c r="C119" i="100"/>
  <c r="G117" i="100"/>
  <c r="H117" i="100"/>
  <c r="I117" i="100"/>
  <c r="F117" i="100"/>
  <c r="S117" i="100"/>
  <c r="X117" i="100"/>
  <c r="K117" i="100"/>
  <c r="T117" i="100"/>
  <c r="AB117" i="100"/>
  <c r="U117" i="100"/>
  <c r="P117" i="100"/>
  <c r="O117" i="100"/>
  <c r="Q117" i="100"/>
  <c r="V117" i="100"/>
  <c r="R117" i="100"/>
  <c r="Z117" i="100"/>
  <c r="AA117" i="100"/>
  <c r="W117" i="100"/>
  <c r="M117" i="100"/>
  <c r="L117" i="100"/>
  <c r="N117" i="100"/>
  <c r="Y117" i="100"/>
  <c r="J117" i="100"/>
  <c r="B122" i="173"/>
  <c r="A123" i="173"/>
  <c r="C121" i="173"/>
  <c r="E120" i="173"/>
  <c r="D120" i="173"/>
  <c r="I116" i="172"/>
  <c r="AE111" i="140"/>
  <c r="J117" i="172" l="1"/>
  <c r="M116" i="172"/>
  <c r="N116" i="172"/>
  <c r="P116" i="172"/>
  <c r="J118" i="172"/>
  <c r="G118" i="172"/>
  <c r="H118" i="172" s="1"/>
  <c r="K116" i="172"/>
  <c r="Q116" i="172"/>
  <c r="L116" i="172"/>
  <c r="C119" i="172"/>
  <c r="D119" i="172" s="1"/>
  <c r="B121" i="172"/>
  <c r="F121" i="172" s="1"/>
  <c r="E121" i="172" s="1"/>
  <c r="N120" i="173"/>
  <c r="R120" i="173"/>
  <c r="X120" i="173"/>
  <c r="M120" i="173"/>
  <c r="Z120" i="173"/>
  <c r="AA120" i="173"/>
  <c r="Q120" i="173"/>
  <c r="S120" i="173"/>
  <c r="U120" i="173"/>
  <c r="L120" i="173"/>
  <c r="O120" i="173"/>
  <c r="T120" i="173"/>
  <c r="P120" i="173"/>
  <c r="Y120" i="173"/>
  <c r="K120" i="173"/>
  <c r="W120" i="173"/>
  <c r="AB120" i="173"/>
  <c r="V120" i="173"/>
  <c r="J120" i="173"/>
  <c r="I120" i="173"/>
  <c r="H120" i="173"/>
  <c r="F120" i="173"/>
  <c r="G120" i="173"/>
  <c r="B121" i="100"/>
  <c r="A122" i="100"/>
  <c r="C120" i="100"/>
  <c r="E121" i="173"/>
  <c r="D121" i="173"/>
  <c r="B123" i="173"/>
  <c r="A124" i="173"/>
  <c r="L118" i="100"/>
  <c r="U118" i="100"/>
  <c r="P118" i="100"/>
  <c r="S118" i="100"/>
  <c r="R118" i="100"/>
  <c r="W118" i="100"/>
  <c r="K118" i="100"/>
  <c r="Z118" i="100"/>
  <c r="AA118" i="100"/>
  <c r="AB118" i="100"/>
  <c r="N118" i="100"/>
  <c r="T118" i="100"/>
  <c r="Y118" i="100"/>
  <c r="M118" i="100"/>
  <c r="X118" i="100"/>
  <c r="Q118" i="100"/>
  <c r="O118" i="100"/>
  <c r="V118" i="100"/>
  <c r="J118" i="100"/>
  <c r="C122" i="173"/>
  <c r="D119" i="100"/>
  <c r="E119" i="100"/>
  <c r="I118" i="100"/>
  <c r="H118" i="100"/>
  <c r="G118" i="100"/>
  <c r="F118" i="100"/>
  <c r="I117" i="172"/>
  <c r="AE112" i="140"/>
  <c r="S118" i="172" l="1"/>
  <c r="T118" i="172"/>
  <c r="R118" i="172"/>
  <c r="R117" i="172"/>
  <c r="S117" i="172"/>
  <c r="T117" i="172"/>
  <c r="K117" i="172"/>
  <c r="M117" i="172"/>
  <c r="O117" i="172"/>
  <c r="L117" i="172"/>
  <c r="N117" i="172"/>
  <c r="P117" i="172"/>
  <c r="Q117" i="172"/>
  <c r="J119" i="172"/>
  <c r="G119" i="172"/>
  <c r="H119" i="172" s="1"/>
  <c r="O118" i="172"/>
  <c r="C120" i="172"/>
  <c r="D120" i="172" s="1"/>
  <c r="B122" i="172"/>
  <c r="F122" i="172" s="1"/>
  <c r="E122" i="172" s="1"/>
  <c r="I121" i="173"/>
  <c r="H121" i="173"/>
  <c r="F121" i="173"/>
  <c r="G121" i="173"/>
  <c r="W119" i="100"/>
  <c r="S119" i="100"/>
  <c r="Q119" i="100"/>
  <c r="N119" i="100"/>
  <c r="L119" i="100"/>
  <c r="O119" i="100"/>
  <c r="V119" i="100"/>
  <c r="T119" i="100"/>
  <c r="R119" i="100"/>
  <c r="U119" i="100"/>
  <c r="Y119" i="100"/>
  <c r="X119" i="100"/>
  <c r="AB119" i="100"/>
  <c r="M119" i="100"/>
  <c r="P119" i="100"/>
  <c r="AA119" i="100"/>
  <c r="Z119" i="100"/>
  <c r="K119" i="100"/>
  <c r="J119" i="100"/>
  <c r="C123" i="173"/>
  <c r="C121" i="100"/>
  <c r="U121" i="173"/>
  <c r="T121" i="173"/>
  <c r="AA121" i="173"/>
  <c r="O121" i="173"/>
  <c r="Z121" i="173"/>
  <c r="P121" i="173"/>
  <c r="N121" i="173"/>
  <c r="X121" i="173"/>
  <c r="K121" i="173"/>
  <c r="M121" i="173"/>
  <c r="W121" i="173"/>
  <c r="R121" i="173"/>
  <c r="Y121" i="173"/>
  <c r="AB121" i="173"/>
  <c r="L121" i="173"/>
  <c r="S121" i="173"/>
  <c r="V121" i="173"/>
  <c r="Q121" i="173"/>
  <c r="J121" i="173"/>
  <c r="D122" i="173"/>
  <c r="E122" i="173"/>
  <c r="D120" i="100"/>
  <c r="E120" i="100"/>
  <c r="I119" i="100"/>
  <c r="F119" i="100"/>
  <c r="G119" i="100"/>
  <c r="H119" i="100"/>
  <c r="B124" i="173"/>
  <c r="A125" i="173"/>
  <c r="B122" i="100"/>
  <c r="A123" i="100"/>
  <c r="AE113" i="140"/>
  <c r="I118" i="172"/>
  <c r="R119" i="172" l="1"/>
  <c r="T119" i="172"/>
  <c r="S119" i="172"/>
  <c r="P118" i="172"/>
  <c r="Q118" i="172"/>
  <c r="G120" i="172"/>
  <c r="H120" i="172" s="1"/>
  <c r="J120" i="172"/>
  <c r="K118" i="172"/>
  <c r="N118" i="172"/>
  <c r="M118" i="172"/>
  <c r="L118" i="172"/>
  <c r="M119" i="172"/>
  <c r="B123" i="172"/>
  <c r="F123" i="172" s="1"/>
  <c r="E123" i="172" s="1"/>
  <c r="C121" i="172"/>
  <c r="D121" i="172" s="1"/>
  <c r="E123" i="173"/>
  <c r="D123" i="173"/>
  <c r="F120" i="100"/>
  <c r="H120" i="100"/>
  <c r="I120" i="100"/>
  <c r="G120" i="100"/>
  <c r="C124" i="173"/>
  <c r="K120" i="100"/>
  <c r="M120" i="100"/>
  <c r="Q120" i="100"/>
  <c r="L120" i="100"/>
  <c r="AB120" i="100"/>
  <c r="AA120" i="100"/>
  <c r="U120" i="100"/>
  <c r="R120" i="100"/>
  <c r="Z120" i="100"/>
  <c r="X120" i="100"/>
  <c r="N120" i="100"/>
  <c r="Y120" i="100"/>
  <c r="T120" i="100"/>
  <c r="P120" i="100"/>
  <c r="W120" i="100"/>
  <c r="S120" i="100"/>
  <c r="V120" i="100"/>
  <c r="O120" i="100"/>
  <c r="J120" i="100"/>
  <c r="I122" i="173"/>
  <c r="G122" i="173"/>
  <c r="F122" i="173"/>
  <c r="H122" i="173"/>
  <c r="Y122" i="173"/>
  <c r="R122" i="173"/>
  <c r="X122" i="173"/>
  <c r="N122" i="173"/>
  <c r="M122" i="173"/>
  <c r="U122" i="173"/>
  <c r="S122" i="173"/>
  <c r="V122" i="173"/>
  <c r="W122" i="173"/>
  <c r="K122" i="173"/>
  <c r="Q122" i="173"/>
  <c r="AB122" i="173"/>
  <c r="AA122" i="173"/>
  <c r="T122" i="173"/>
  <c r="L122" i="173"/>
  <c r="P122" i="173"/>
  <c r="Z122" i="173"/>
  <c r="O122" i="173"/>
  <c r="J122" i="173"/>
  <c r="D121" i="100"/>
  <c r="E121" i="100"/>
  <c r="C122" i="100"/>
  <c r="B123" i="100"/>
  <c r="A124" i="100"/>
  <c r="B125" i="173"/>
  <c r="A126" i="173"/>
  <c r="I119" i="172"/>
  <c r="AE114" i="140"/>
  <c r="I120" i="172"/>
  <c r="T120" i="172" l="1"/>
  <c r="R120" i="172"/>
  <c r="S120" i="172"/>
  <c r="L119" i="172"/>
  <c r="K119" i="172"/>
  <c r="N119" i="172"/>
  <c r="O119" i="172"/>
  <c r="P120" i="172"/>
  <c r="P119" i="172"/>
  <c r="M120" i="172"/>
  <c r="Q120" i="172"/>
  <c r="J121" i="172"/>
  <c r="G121" i="172"/>
  <c r="H121" i="172" s="1"/>
  <c r="N120" i="172"/>
  <c r="L120" i="172"/>
  <c r="K120" i="172"/>
  <c r="O120" i="172"/>
  <c r="Q119" i="172"/>
  <c r="B124" i="172"/>
  <c r="F124" i="172" s="1"/>
  <c r="E124" i="172" s="1"/>
  <c r="C122" i="172"/>
  <c r="D122" i="172" s="1"/>
  <c r="E122" i="100"/>
  <c r="D122" i="100"/>
  <c r="F121" i="100"/>
  <c r="H121" i="100"/>
  <c r="I121" i="100"/>
  <c r="G121" i="100"/>
  <c r="P121" i="100"/>
  <c r="AB121" i="100"/>
  <c r="Y121" i="100"/>
  <c r="N121" i="100"/>
  <c r="U121" i="100"/>
  <c r="M121" i="100"/>
  <c r="X121" i="100"/>
  <c r="K121" i="100"/>
  <c r="Q121" i="100"/>
  <c r="S121" i="100"/>
  <c r="L121" i="100"/>
  <c r="R121" i="100"/>
  <c r="W121" i="100"/>
  <c r="Z121" i="100"/>
  <c r="T121" i="100"/>
  <c r="V121" i="100"/>
  <c r="O121" i="100"/>
  <c r="AA121" i="100"/>
  <c r="J121" i="100"/>
  <c r="B124" i="100"/>
  <c r="A125" i="100"/>
  <c r="D124" i="173"/>
  <c r="E124" i="173"/>
  <c r="X123" i="173"/>
  <c r="R123" i="173"/>
  <c r="AB123" i="173"/>
  <c r="T123" i="173"/>
  <c r="Q123" i="173"/>
  <c r="O123" i="173"/>
  <c r="S123" i="173"/>
  <c r="V123" i="173"/>
  <c r="AA123" i="173"/>
  <c r="P123" i="173"/>
  <c r="U123" i="173"/>
  <c r="N123" i="173"/>
  <c r="Z123" i="173"/>
  <c r="Y123" i="173"/>
  <c r="K123" i="173"/>
  <c r="M123" i="173"/>
  <c r="W123" i="173"/>
  <c r="L123" i="173"/>
  <c r="J123" i="173"/>
  <c r="B126" i="173"/>
  <c r="A127" i="173"/>
  <c r="C125" i="173"/>
  <c r="C123" i="100"/>
  <c r="H123" i="173"/>
  <c r="I123" i="173"/>
  <c r="G123" i="173"/>
  <c r="F123" i="173"/>
  <c r="AE115" i="140"/>
  <c r="R121" i="172" l="1"/>
  <c r="S121" i="172"/>
  <c r="T121" i="172"/>
  <c r="J122" i="172"/>
  <c r="G122" i="172"/>
  <c r="H122" i="172" s="1"/>
  <c r="K121" i="172"/>
  <c r="B125" i="172"/>
  <c r="F125" i="172" s="1"/>
  <c r="E125" i="172" s="1"/>
  <c r="C123" i="172"/>
  <c r="D123" i="172" s="1"/>
  <c r="B127" i="173"/>
  <c r="A128" i="173"/>
  <c r="C124" i="100"/>
  <c r="N124" i="173"/>
  <c r="P124" i="173"/>
  <c r="W124" i="173"/>
  <c r="O124" i="173"/>
  <c r="Z124" i="173"/>
  <c r="V124" i="173"/>
  <c r="K124" i="173"/>
  <c r="AA124" i="173"/>
  <c r="L124" i="173"/>
  <c r="S124" i="173"/>
  <c r="T124" i="173"/>
  <c r="Y124" i="173"/>
  <c r="U124" i="173"/>
  <c r="Q124" i="173"/>
  <c r="R124" i="173"/>
  <c r="X124" i="173"/>
  <c r="M124" i="173"/>
  <c r="AB124" i="173"/>
  <c r="J124" i="173"/>
  <c r="C126" i="173"/>
  <c r="N122" i="100"/>
  <c r="X122" i="100"/>
  <c r="Q122" i="100"/>
  <c r="V122" i="100"/>
  <c r="Z122" i="100"/>
  <c r="O122" i="100"/>
  <c r="Y122" i="100"/>
  <c r="AA122" i="100"/>
  <c r="K122" i="100"/>
  <c r="P122" i="100"/>
  <c r="M122" i="100"/>
  <c r="W122" i="100"/>
  <c r="AB122" i="100"/>
  <c r="R122" i="100"/>
  <c r="U122" i="100"/>
  <c r="T122" i="100"/>
  <c r="L122" i="100"/>
  <c r="S122" i="100"/>
  <c r="J122" i="100"/>
  <c r="B125" i="100"/>
  <c r="A126" i="100"/>
  <c r="D123" i="100"/>
  <c r="E123" i="100"/>
  <c r="F122" i="100"/>
  <c r="I122" i="100"/>
  <c r="H122" i="100"/>
  <c r="G122" i="100"/>
  <c r="E125" i="173"/>
  <c r="D125" i="173"/>
  <c r="G124" i="173"/>
  <c r="F124" i="173"/>
  <c r="I124" i="173"/>
  <c r="H124" i="173"/>
  <c r="I121" i="172"/>
  <c r="AE116" i="140"/>
  <c r="S122" i="172" l="1"/>
  <c r="R122" i="172"/>
  <c r="T122" i="172"/>
  <c r="L121" i="172"/>
  <c r="P121" i="172"/>
  <c r="G123" i="172"/>
  <c r="H123" i="172" s="1"/>
  <c r="J123" i="172"/>
  <c r="Q121" i="172"/>
  <c r="M121" i="172"/>
  <c r="O121" i="172"/>
  <c r="N121" i="172"/>
  <c r="C124" i="172"/>
  <c r="D124" i="172" s="1"/>
  <c r="B126" i="172"/>
  <c r="F126" i="172" s="1"/>
  <c r="E126" i="172" s="1"/>
  <c r="C127" i="173"/>
  <c r="D126" i="173"/>
  <c r="E126" i="173"/>
  <c r="H123" i="100"/>
  <c r="G123" i="100"/>
  <c r="F123" i="100"/>
  <c r="I123" i="100"/>
  <c r="O125" i="173"/>
  <c r="K125" i="173"/>
  <c r="M125" i="173"/>
  <c r="AB125" i="173"/>
  <c r="L125" i="173"/>
  <c r="P125" i="173"/>
  <c r="W125" i="173"/>
  <c r="S125" i="173"/>
  <c r="N125" i="173"/>
  <c r="T125" i="173"/>
  <c r="AA125" i="173"/>
  <c r="U125" i="173"/>
  <c r="V125" i="173"/>
  <c r="Z125" i="173"/>
  <c r="R125" i="173"/>
  <c r="X125" i="173"/>
  <c r="Q125" i="173"/>
  <c r="Y125" i="173"/>
  <c r="J125" i="173"/>
  <c r="P123" i="100"/>
  <c r="N123" i="100"/>
  <c r="M123" i="100"/>
  <c r="Y123" i="100"/>
  <c r="U123" i="100"/>
  <c r="X123" i="100"/>
  <c r="W123" i="100"/>
  <c r="K123" i="100"/>
  <c r="L123" i="100"/>
  <c r="Z123" i="100"/>
  <c r="V123" i="100"/>
  <c r="O123" i="100"/>
  <c r="T123" i="100"/>
  <c r="AA123" i="100"/>
  <c r="Q123" i="100"/>
  <c r="R123" i="100"/>
  <c r="S123" i="100"/>
  <c r="AB123" i="100"/>
  <c r="J123" i="100"/>
  <c r="B126" i="100"/>
  <c r="A127" i="100"/>
  <c r="D124" i="100"/>
  <c r="E124" i="100"/>
  <c r="G125" i="173"/>
  <c r="H125" i="173"/>
  <c r="I125" i="173"/>
  <c r="F125" i="173"/>
  <c r="C125" i="100"/>
  <c r="B128" i="173"/>
  <c r="A129" i="173"/>
  <c r="I122" i="172"/>
  <c r="AE117" i="140"/>
  <c r="I123" i="172"/>
  <c r="T123" i="172" l="1"/>
  <c r="R123" i="172"/>
  <c r="S123" i="172"/>
  <c r="P123" i="172"/>
  <c r="P122" i="172"/>
  <c r="O123" i="172"/>
  <c r="Q123" i="172"/>
  <c r="Q122" i="172"/>
  <c r="G124" i="172"/>
  <c r="H124" i="172" s="1"/>
  <c r="N122" i="172"/>
  <c r="M122" i="172"/>
  <c r="L122" i="172"/>
  <c r="L123" i="172"/>
  <c r="M123" i="172"/>
  <c r="N123" i="172"/>
  <c r="K123" i="172"/>
  <c r="O122" i="172"/>
  <c r="K122" i="172"/>
  <c r="B127" i="172"/>
  <c r="F127" i="172" s="1"/>
  <c r="E127" i="172" s="1"/>
  <c r="C125" i="172"/>
  <c r="D125" i="172" s="1"/>
  <c r="D125" i="100"/>
  <c r="E125" i="100"/>
  <c r="G124" i="100"/>
  <c r="I124" i="100"/>
  <c r="H124" i="100"/>
  <c r="F124" i="100"/>
  <c r="W124" i="100"/>
  <c r="S124" i="100"/>
  <c r="X124" i="100"/>
  <c r="K124" i="100"/>
  <c r="M124" i="100"/>
  <c r="AA124" i="100"/>
  <c r="O124" i="100"/>
  <c r="Y124" i="100"/>
  <c r="N124" i="100"/>
  <c r="R124" i="100"/>
  <c r="T124" i="100"/>
  <c r="AB124" i="100"/>
  <c r="L124" i="100"/>
  <c r="P124" i="100"/>
  <c r="Q124" i="100"/>
  <c r="V124" i="100"/>
  <c r="U124" i="100"/>
  <c r="Z124" i="100"/>
  <c r="J124" i="100"/>
  <c r="B127" i="100"/>
  <c r="A128" i="100"/>
  <c r="I126" i="173"/>
  <c r="H126" i="173"/>
  <c r="F126" i="173"/>
  <c r="G126" i="173"/>
  <c r="C126" i="100"/>
  <c r="O126" i="173"/>
  <c r="X126" i="173"/>
  <c r="N126" i="173"/>
  <c r="Q126" i="173"/>
  <c r="U126" i="173"/>
  <c r="T126" i="173"/>
  <c r="AB126" i="173"/>
  <c r="Y126" i="173"/>
  <c r="S126" i="173"/>
  <c r="P126" i="173"/>
  <c r="M126" i="173"/>
  <c r="V126" i="173"/>
  <c r="Z126" i="173"/>
  <c r="W126" i="173"/>
  <c r="R126" i="173"/>
  <c r="AA126" i="173"/>
  <c r="L126" i="173"/>
  <c r="K126" i="173"/>
  <c r="J126" i="173"/>
  <c r="E127" i="173"/>
  <c r="D127" i="173"/>
  <c r="B129" i="173"/>
  <c r="A130" i="173"/>
  <c r="C128" i="173"/>
  <c r="AE118" i="140"/>
  <c r="J124" i="172" l="1"/>
  <c r="G125" i="172"/>
  <c r="H125" i="172" s="1"/>
  <c r="J125" i="172"/>
  <c r="B128" i="172"/>
  <c r="F128" i="172" s="1"/>
  <c r="E128" i="172" s="1"/>
  <c r="C126" i="172"/>
  <c r="D126" i="172" s="1"/>
  <c r="M127" i="173"/>
  <c r="U127" i="173"/>
  <c r="Z127" i="173"/>
  <c r="K127" i="173"/>
  <c r="X127" i="173"/>
  <c r="V127" i="173"/>
  <c r="W127" i="173"/>
  <c r="AB127" i="173"/>
  <c r="AA127" i="173"/>
  <c r="Y127" i="173"/>
  <c r="N127" i="173"/>
  <c r="L127" i="173"/>
  <c r="P127" i="173"/>
  <c r="Q127" i="173"/>
  <c r="T127" i="173"/>
  <c r="S127" i="173"/>
  <c r="O127" i="173"/>
  <c r="R127" i="173"/>
  <c r="J127" i="173"/>
  <c r="F127" i="173"/>
  <c r="H127" i="173"/>
  <c r="G127" i="173"/>
  <c r="I127" i="173"/>
  <c r="B128" i="100"/>
  <c r="A129" i="100"/>
  <c r="C127" i="100"/>
  <c r="E126" i="100"/>
  <c r="D126" i="100"/>
  <c r="H125" i="100"/>
  <c r="F125" i="100"/>
  <c r="G125" i="100"/>
  <c r="I125" i="100"/>
  <c r="Y125" i="100"/>
  <c r="N125" i="100"/>
  <c r="S125" i="100"/>
  <c r="U125" i="100"/>
  <c r="V125" i="100"/>
  <c r="W125" i="100"/>
  <c r="P125" i="100"/>
  <c r="O125" i="100"/>
  <c r="Z125" i="100"/>
  <c r="AB125" i="100"/>
  <c r="AA125" i="100"/>
  <c r="M125" i="100"/>
  <c r="Q125" i="100"/>
  <c r="R125" i="100"/>
  <c r="T125" i="100"/>
  <c r="X125" i="100"/>
  <c r="L125" i="100"/>
  <c r="K125" i="100"/>
  <c r="J125" i="100"/>
  <c r="B130" i="173"/>
  <c r="A131" i="173"/>
  <c r="E128" i="173"/>
  <c r="D128" i="173"/>
  <c r="C129" i="173"/>
  <c r="I125" i="172"/>
  <c r="AE119" i="140"/>
  <c r="I124" i="172"/>
  <c r="R125" i="172" l="1"/>
  <c r="T125" i="172"/>
  <c r="S125" i="172"/>
  <c r="R124" i="172"/>
  <c r="S124" i="172"/>
  <c r="T124" i="172"/>
  <c r="N124" i="172"/>
  <c r="M124" i="172"/>
  <c r="K124" i="172"/>
  <c r="L124" i="172"/>
  <c r="P124" i="172"/>
  <c r="O124" i="172"/>
  <c r="Q124" i="172"/>
  <c r="P125" i="172"/>
  <c r="N125" i="172"/>
  <c r="Q125" i="172"/>
  <c r="M125" i="172"/>
  <c r="L125" i="172"/>
  <c r="O125" i="172"/>
  <c r="K125" i="172"/>
  <c r="J126" i="172"/>
  <c r="G126" i="172"/>
  <c r="H126" i="172" s="1"/>
  <c r="B129" i="172"/>
  <c r="F129" i="172" s="1"/>
  <c r="E129" i="172" s="1"/>
  <c r="C127" i="172"/>
  <c r="D127" i="172" s="1"/>
  <c r="B129" i="100"/>
  <c r="A130" i="100"/>
  <c r="C128" i="100"/>
  <c r="E129" i="173"/>
  <c r="D129" i="173"/>
  <c r="Y126" i="100"/>
  <c r="K126" i="100"/>
  <c r="O126" i="100"/>
  <c r="P126" i="100"/>
  <c r="L126" i="100"/>
  <c r="R126" i="100"/>
  <c r="AB126" i="100"/>
  <c r="T126" i="100"/>
  <c r="Q126" i="100"/>
  <c r="X126" i="100"/>
  <c r="N126" i="100"/>
  <c r="V126" i="100"/>
  <c r="Z126" i="100"/>
  <c r="M126" i="100"/>
  <c r="AA126" i="100"/>
  <c r="W126" i="100"/>
  <c r="U126" i="100"/>
  <c r="S126" i="100"/>
  <c r="J126" i="100"/>
  <c r="U128" i="173"/>
  <c r="N128" i="173"/>
  <c r="K128" i="173"/>
  <c r="Q128" i="173"/>
  <c r="O128" i="173"/>
  <c r="P128" i="173"/>
  <c r="AA128" i="173"/>
  <c r="M128" i="173"/>
  <c r="V128" i="173"/>
  <c r="T128" i="173"/>
  <c r="Y128" i="173"/>
  <c r="AB128" i="173"/>
  <c r="R128" i="173"/>
  <c r="W128" i="173"/>
  <c r="Z128" i="173"/>
  <c r="X128" i="173"/>
  <c r="L128" i="173"/>
  <c r="S128" i="173"/>
  <c r="J128" i="173"/>
  <c r="H126" i="100"/>
  <c r="I126" i="100"/>
  <c r="F126" i="100"/>
  <c r="G126" i="100"/>
  <c r="B131" i="173"/>
  <c r="A132" i="173"/>
  <c r="C130" i="173"/>
  <c r="G128" i="173"/>
  <c r="H128" i="173"/>
  <c r="I128" i="173"/>
  <c r="F128" i="173"/>
  <c r="D127" i="100"/>
  <c r="E127" i="100"/>
  <c r="AE120" i="140"/>
  <c r="I126" i="172"/>
  <c r="S126" i="172" l="1"/>
  <c r="T126" i="172"/>
  <c r="R126" i="172"/>
  <c r="Q126" i="172"/>
  <c r="P126" i="172"/>
  <c r="K126" i="172"/>
  <c r="G127" i="172"/>
  <c r="H127" i="172" s="1"/>
  <c r="J127" i="172"/>
  <c r="M126" i="172"/>
  <c r="N126" i="172"/>
  <c r="L126" i="172"/>
  <c r="O126" i="172"/>
  <c r="B130" i="172"/>
  <c r="F130" i="172" s="1"/>
  <c r="E130" i="172" s="1"/>
  <c r="C128" i="172"/>
  <c r="D128" i="172" s="1"/>
  <c r="D130" i="173"/>
  <c r="E130" i="173"/>
  <c r="H127" i="100"/>
  <c r="I127" i="100"/>
  <c r="G127" i="100"/>
  <c r="F127" i="100"/>
  <c r="B132" i="173"/>
  <c r="A133" i="173"/>
  <c r="C131" i="173"/>
  <c r="S129" i="173"/>
  <c r="X129" i="173"/>
  <c r="AB129" i="173"/>
  <c r="M129" i="173"/>
  <c r="R129" i="173"/>
  <c r="Q129" i="173"/>
  <c r="P129" i="173"/>
  <c r="W129" i="173"/>
  <c r="AA129" i="173"/>
  <c r="L129" i="173"/>
  <c r="U129" i="173"/>
  <c r="T129" i="173"/>
  <c r="Y129" i="173"/>
  <c r="Z129" i="173"/>
  <c r="V129" i="173"/>
  <c r="K129" i="173"/>
  <c r="N129" i="173"/>
  <c r="O129" i="173"/>
  <c r="J129" i="173"/>
  <c r="D128" i="100"/>
  <c r="E128" i="100"/>
  <c r="O127" i="100"/>
  <c r="Q127" i="100"/>
  <c r="Z127" i="100"/>
  <c r="AA127" i="100"/>
  <c r="M127" i="100"/>
  <c r="Y127" i="100"/>
  <c r="L127" i="100"/>
  <c r="R127" i="100"/>
  <c r="AB127" i="100"/>
  <c r="S127" i="100"/>
  <c r="W127" i="100"/>
  <c r="V127" i="100"/>
  <c r="X127" i="100"/>
  <c r="P127" i="100"/>
  <c r="U127" i="100"/>
  <c r="K127" i="100"/>
  <c r="T127" i="100"/>
  <c r="N127" i="100"/>
  <c r="J127" i="100"/>
  <c r="G129" i="173"/>
  <c r="F129" i="173"/>
  <c r="I129" i="173"/>
  <c r="H129" i="173"/>
  <c r="B130" i="100"/>
  <c r="A131" i="100"/>
  <c r="C129" i="100"/>
  <c r="AE121" i="140"/>
  <c r="R127" i="172" l="1"/>
  <c r="T127" i="172"/>
  <c r="S127" i="172"/>
  <c r="G128" i="172"/>
  <c r="H128" i="172" s="1"/>
  <c r="J128" i="172"/>
  <c r="K127" i="172"/>
  <c r="B131" i="172"/>
  <c r="F131" i="172" s="1"/>
  <c r="E131" i="172" s="1"/>
  <c r="C129" i="172"/>
  <c r="D129" i="172" s="1"/>
  <c r="B131" i="100"/>
  <c r="A132" i="100"/>
  <c r="D131" i="173"/>
  <c r="E131" i="173"/>
  <c r="D129" i="100"/>
  <c r="E129" i="100"/>
  <c r="C130" i="100"/>
  <c r="H128" i="100"/>
  <c r="I128" i="100"/>
  <c r="F128" i="100"/>
  <c r="G128" i="100"/>
  <c r="B133" i="173"/>
  <c r="A134" i="173"/>
  <c r="S128" i="100"/>
  <c r="V128" i="100"/>
  <c r="K128" i="100"/>
  <c r="M128" i="100"/>
  <c r="N128" i="100"/>
  <c r="L128" i="100"/>
  <c r="R128" i="100"/>
  <c r="T128" i="100"/>
  <c r="O128" i="100"/>
  <c r="P128" i="100"/>
  <c r="Z128" i="100"/>
  <c r="AB128" i="100"/>
  <c r="Y128" i="100"/>
  <c r="AA128" i="100"/>
  <c r="X128" i="100"/>
  <c r="U128" i="100"/>
  <c r="W128" i="100"/>
  <c r="Q128" i="100"/>
  <c r="J128" i="100"/>
  <c r="C132" i="173"/>
  <c r="F130" i="173"/>
  <c r="I130" i="173"/>
  <c r="H130" i="173"/>
  <c r="G130" i="173"/>
  <c r="N130" i="173"/>
  <c r="Z130" i="173"/>
  <c r="Y130" i="173"/>
  <c r="U130" i="173"/>
  <c r="X130" i="173"/>
  <c r="V130" i="173"/>
  <c r="M130" i="173"/>
  <c r="R130" i="173"/>
  <c r="K130" i="173"/>
  <c r="W130" i="173"/>
  <c r="L130" i="173"/>
  <c r="P130" i="173"/>
  <c r="T130" i="173"/>
  <c r="O130" i="173"/>
  <c r="Q130" i="173"/>
  <c r="AB130" i="173"/>
  <c r="AA130" i="173"/>
  <c r="S130" i="173"/>
  <c r="J130" i="173"/>
  <c r="I127" i="172"/>
  <c r="AE122" i="140"/>
  <c r="R128" i="172" l="1"/>
  <c r="S128" i="172"/>
  <c r="T128" i="172"/>
  <c r="N127" i="172"/>
  <c r="P127" i="172"/>
  <c r="Q127" i="172"/>
  <c r="G129" i="172"/>
  <c r="H129" i="172" s="1"/>
  <c r="J129" i="172"/>
  <c r="L127" i="172"/>
  <c r="M127" i="172"/>
  <c r="O127" i="172"/>
  <c r="K128" i="172"/>
  <c r="B132" i="172"/>
  <c r="F132" i="172" s="1"/>
  <c r="E132" i="172" s="1"/>
  <c r="C130" i="172"/>
  <c r="D130" i="172" s="1"/>
  <c r="C133" i="173"/>
  <c r="N129" i="100"/>
  <c r="Y129" i="100"/>
  <c r="AB129" i="100"/>
  <c r="S129" i="100"/>
  <c r="Q129" i="100"/>
  <c r="V129" i="100"/>
  <c r="P129" i="100"/>
  <c r="X129" i="100"/>
  <c r="L129" i="100"/>
  <c r="K129" i="100"/>
  <c r="W129" i="100"/>
  <c r="R129" i="100"/>
  <c r="T129" i="100"/>
  <c r="O129" i="100"/>
  <c r="AA129" i="100"/>
  <c r="Z129" i="100"/>
  <c r="M129" i="100"/>
  <c r="U129" i="100"/>
  <c r="J129" i="100"/>
  <c r="F131" i="173"/>
  <c r="H131" i="173"/>
  <c r="G131" i="173"/>
  <c r="I131" i="173"/>
  <c r="AA131" i="173"/>
  <c r="O131" i="173"/>
  <c r="V131" i="173"/>
  <c r="R131" i="173"/>
  <c r="L131" i="173"/>
  <c r="U131" i="173"/>
  <c r="N131" i="173"/>
  <c r="P131" i="173"/>
  <c r="Y131" i="173"/>
  <c r="M131" i="173"/>
  <c r="Q131" i="173"/>
  <c r="S131" i="173"/>
  <c r="AB131" i="173"/>
  <c r="W131" i="173"/>
  <c r="X131" i="173"/>
  <c r="Z131" i="173"/>
  <c r="K131" i="173"/>
  <c r="T131" i="173"/>
  <c r="J131" i="173"/>
  <c r="B132" i="100"/>
  <c r="A133" i="100"/>
  <c r="C131" i="100"/>
  <c r="D130" i="100"/>
  <c r="E130" i="100"/>
  <c r="D132" i="173"/>
  <c r="E132" i="173"/>
  <c r="B134" i="173"/>
  <c r="A135" i="173"/>
  <c r="F129" i="100"/>
  <c r="I129" i="100"/>
  <c r="G129" i="100"/>
  <c r="H129" i="100"/>
  <c r="AE123" i="140"/>
  <c r="I128" i="172"/>
  <c r="R129" i="172" l="1"/>
  <c r="S129" i="172"/>
  <c r="T129" i="172"/>
  <c r="P128" i="172"/>
  <c r="Q128" i="172"/>
  <c r="L129" i="172"/>
  <c r="J130" i="172"/>
  <c r="G130" i="172"/>
  <c r="H130" i="172" s="1"/>
  <c r="M128" i="172"/>
  <c r="N128" i="172"/>
  <c r="O128" i="172"/>
  <c r="L128" i="172"/>
  <c r="B133" i="172"/>
  <c r="F133" i="172" s="1"/>
  <c r="E133" i="172" s="1"/>
  <c r="C131" i="172"/>
  <c r="D131" i="172" s="1"/>
  <c r="B133" i="100"/>
  <c r="A134" i="100"/>
  <c r="B135" i="173"/>
  <c r="A136" i="173"/>
  <c r="C132" i="100"/>
  <c r="C134" i="173"/>
  <c r="F132" i="173"/>
  <c r="H132" i="173"/>
  <c r="G132" i="173"/>
  <c r="I132" i="173"/>
  <c r="E133" i="173"/>
  <c r="D133" i="173"/>
  <c r="X132" i="173"/>
  <c r="AA132" i="173"/>
  <c r="T132" i="173"/>
  <c r="N132" i="173"/>
  <c r="R132" i="173"/>
  <c r="AB132" i="173"/>
  <c r="S132" i="173"/>
  <c r="Q132" i="173"/>
  <c r="O132" i="173"/>
  <c r="M132" i="173"/>
  <c r="P132" i="173"/>
  <c r="Y132" i="173"/>
  <c r="K132" i="173"/>
  <c r="U132" i="173"/>
  <c r="W132" i="173"/>
  <c r="V132" i="173"/>
  <c r="Z132" i="173"/>
  <c r="L132" i="173"/>
  <c r="J132" i="173"/>
  <c r="G130" i="100"/>
  <c r="H130" i="100"/>
  <c r="F130" i="100"/>
  <c r="I130" i="100"/>
  <c r="AA130" i="100"/>
  <c r="K130" i="100"/>
  <c r="T130" i="100"/>
  <c r="O130" i="100"/>
  <c r="W130" i="100"/>
  <c r="V130" i="100"/>
  <c r="R130" i="100"/>
  <c r="L130" i="100"/>
  <c r="AB130" i="100"/>
  <c r="S130" i="100"/>
  <c r="P130" i="100"/>
  <c r="N130" i="100"/>
  <c r="Y130" i="100"/>
  <c r="U130" i="100"/>
  <c r="Q130" i="100"/>
  <c r="M130" i="100"/>
  <c r="Z130" i="100"/>
  <c r="X130" i="100"/>
  <c r="J130" i="100"/>
  <c r="D131" i="100"/>
  <c r="E131" i="100"/>
  <c r="I129" i="172"/>
  <c r="AE124" i="140"/>
  <c r="S130" i="172" l="1"/>
  <c r="R130" i="172"/>
  <c r="T130" i="172"/>
  <c r="M129" i="172"/>
  <c r="P129" i="172"/>
  <c r="G131" i="172"/>
  <c r="H131" i="172" s="1"/>
  <c r="Q129" i="172"/>
  <c r="K130" i="172"/>
  <c r="N129" i="172"/>
  <c r="K129" i="172"/>
  <c r="O129" i="172"/>
  <c r="C132" i="172"/>
  <c r="D132" i="172" s="1"/>
  <c r="B134" i="172"/>
  <c r="F134" i="172" s="1"/>
  <c r="E134" i="172" s="1"/>
  <c r="E134" i="173"/>
  <c r="D134" i="173"/>
  <c r="I131" i="100"/>
  <c r="H131" i="100"/>
  <c r="G131" i="100"/>
  <c r="F131" i="100"/>
  <c r="D132" i="100"/>
  <c r="E132" i="100"/>
  <c r="AB131" i="100"/>
  <c r="N131" i="100"/>
  <c r="L131" i="100"/>
  <c r="AA131" i="100"/>
  <c r="P131" i="100"/>
  <c r="Q131" i="100"/>
  <c r="R131" i="100"/>
  <c r="W131" i="100"/>
  <c r="Y131" i="100"/>
  <c r="T131" i="100"/>
  <c r="K131" i="100"/>
  <c r="O131" i="100"/>
  <c r="S131" i="100"/>
  <c r="Z131" i="100"/>
  <c r="V131" i="100"/>
  <c r="U131" i="100"/>
  <c r="X131" i="100"/>
  <c r="M131" i="100"/>
  <c r="J131" i="100"/>
  <c r="M133" i="173"/>
  <c r="N133" i="173"/>
  <c r="AB133" i="173"/>
  <c r="X133" i="173"/>
  <c r="R133" i="173"/>
  <c r="W133" i="173"/>
  <c r="Q133" i="173"/>
  <c r="K133" i="173"/>
  <c r="P133" i="173"/>
  <c r="Z133" i="173"/>
  <c r="S133" i="173"/>
  <c r="AA133" i="173"/>
  <c r="T133" i="173"/>
  <c r="L133" i="173"/>
  <c r="O133" i="173"/>
  <c r="U133" i="173"/>
  <c r="V133" i="173"/>
  <c r="Y133" i="173"/>
  <c r="J133" i="173"/>
  <c r="B136" i="173"/>
  <c r="A137" i="173"/>
  <c r="F133" i="173"/>
  <c r="I133" i="173"/>
  <c r="G133" i="173"/>
  <c r="H133" i="173"/>
  <c r="C135" i="173"/>
  <c r="B134" i="100"/>
  <c r="A135" i="100"/>
  <c r="C133" i="100"/>
  <c r="I130" i="172"/>
  <c r="AE125" i="140"/>
  <c r="J131" i="172" l="1"/>
  <c r="N130" i="172"/>
  <c r="L130" i="172"/>
  <c r="P130" i="172"/>
  <c r="G132" i="172"/>
  <c r="H132" i="172" s="1"/>
  <c r="Q130" i="172"/>
  <c r="O130" i="172"/>
  <c r="M130" i="172"/>
  <c r="B135" i="172"/>
  <c r="F135" i="172" s="1"/>
  <c r="E135" i="172" s="1"/>
  <c r="C133" i="172"/>
  <c r="D133" i="172" s="1"/>
  <c r="D133" i="100"/>
  <c r="E133" i="100"/>
  <c r="K132" i="100"/>
  <c r="T132" i="100"/>
  <c r="V132" i="100"/>
  <c r="R132" i="100"/>
  <c r="Y132" i="100"/>
  <c r="L132" i="100"/>
  <c r="P132" i="100"/>
  <c r="W132" i="100"/>
  <c r="N132" i="100"/>
  <c r="M132" i="100"/>
  <c r="U132" i="100"/>
  <c r="AA132" i="100"/>
  <c r="O132" i="100"/>
  <c r="X132" i="100"/>
  <c r="AB132" i="100"/>
  <c r="Q132" i="100"/>
  <c r="Z132" i="100"/>
  <c r="S132" i="100"/>
  <c r="J132" i="100"/>
  <c r="B137" i="173"/>
  <c r="A138" i="173"/>
  <c r="C134" i="100"/>
  <c r="C136" i="173"/>
  <c r="D135" i="173"/>
  <c r="E135" i="173"/>
  <c r="Q134" i="173"/>
  <c r="L134" i="173"/>
  <c r="K134" i="173"/>
  <c r="V134" i="173"/>
  <c r="U134" i="173"/>
  <c r="P134" i="173"/>
  <c r="AB134" i="173"/>
  <c r="O134" i="173"/>
  <c r="T134" i="173"/>
  <c r="W134" i="173"/>
  <c r="R134" i="173"/>
  <c r="Y134" i="173"/>
  <c r="M134" i="173"/>
  <c r="N134" i="173"/>
  <c r="AA134" i="173"/>
  <c r="S134" i="173"/>
  <c r="X134" i="173"/>
  <c r="Z134" i="173"/>
  <c r="J134" i="173"/>
  <c r="B135" i="100"/>
  <c r="A136" i="100"/>
  <c r="F132" i="100"/>
  <c r="G132" i="100"/>
  <c r="H132" i="100"/>
  <c r="I132" i="100"/>
  <c r="I134" i="173"/>
  <c r="H134" i="173"/>
  <c r="F134" i="173"/>
  <c r="G134" i="173"/>
  <c r="AE126" i="140"/>
  <c r="I131" i="172"/>
  <c r="T131" i="172" l="1"/>
  <c r="S131" i="172"/>
  <c r="R131" i="172"/>
  <c r="K131" i="172"/>
  <c r="O131" i="172"/>
  <c r="N131" i="172"/>
  <c r="Q131" i="172"/>
  <c r="M131" i="172"/>
  <c r="L131" i="172"/>
  <c r="P131" i="172"/>
  <c r="J132" i="172"/>
  <c r="J133" i="172"/>
  <c r="G133" i="172"/>
  <c r="H133" i="172" s="1"/>
  <c r="B136" i="172"/>
  <c r="F136" i="172" s="1"/>
  <c r="E136" i="172" s="1"/>
  <c r="C134" i="172"/>
  <c r="D134" i="172" s="1"/>
  <c r="C135" i="100"/>
  <c r="D134" i="100"/>
  <c r="E134" i="100"/>
  <c r="B138" i="173"/>
  <c r="A139" i="173"/>
  <c r="B139" i="173" s="1"/>
  <c r="C137" i="173"/>
  <c r="I135" i="173"/>
  <c r="F135" i="173"/>
  <c r="G135" i="173"/>
  <c r="H135" i="173"/>
  <c r="X135" i="173"/>
  <c r="P135" i="173"/>
  <c r="Z135" i="173"/>
  <c r="M135" i="173"/>
  <c r="V135" i="173"/>
  <c r="W135" i="173"/>
  <c r="U135" i="173"/>
  <c r="AA135" i="173"/>
  <c r="S135" i="173"/>
  <c r="T135" i="173"/>
  <c r="Q135" i="173"/>
  <c r="K135" i="173"/>
  <c r="AB135" i="173"/>
  <c r="L135" i="173"/>
  <c r="Y135" i="173"/>
  <c r="O135" i="173"/>
  <c r="R135" i="173"/>
  <c r="N135" i="173"/>
  <c r="J135" i="173"/>
  <c r="D136" i="173"/>
  <c r="E136" i="173"/>
  <c r="F133" i="100"/>
  <c r="H133" i="100"/>
  <c r="G133" i="100"/>
  <c r="I133" i="100"/>
  <c r="B136" i="100"/>
  <c r="A137" i="100"/>
  <c r="S133" i="100"/>
  <c r="Q133" i="100"/>
  <c r="K133" i="100"/>
  <c r="N133" i="100"/>
  <c r="T133" i="100"/>
  <c r="O133" i="100"/>
  <c r="U133" i="100"/>
  <c r="R133" i="100"/>
  <c r="AB133" i="100"/>
  <c r="V133" i="100"/>
  <c r="M133" i="100"/>
  <c r="W133" i="100"/>
  <c r="Z133" i="100"/>
  <c r="P133" i="100"/>
  <c r="Y133" i="100"/>
  <c r="AA133" i="100"/>
  <c r="X133" i="100"/>
  <c r="L133" i="100"/>
  <c r="J133" i="100"/>
  <c r="I132" i="172"/>
  <c r="AE127" i="140"/>
  <c r="R133" i="172" l="1"/>
  <c r="S133" i="172"/>
  <c r="T133" i="172"/>
  <c r="R132" i="172"/>
  <c r="S132" i="172"/>
  <c r="T132" i="172"/>
  <c r="Q132" i="172"/>
  <c r="K132" i="172"/>
  <c r="M132" i="172"/>
  <c r="P132" i="172"/>
  <c r="N132" i="172"/>
  <c r="O132" i="172"/>
  <c r="L132" i="172"/>
  <c r="J134" i="172"/>
  <c r="G134" i="172"/>
  <c r="H134" i="172" s="1"/>
  <c r="K133" i="172"/>
  <c r="C135" i="172"/>
  <c r="D135" i="172" s="1"/>
  <c r="B137" i="172"/>
  <c r="F137" i="172" s="1"/>
  <c r="E137" i="172" s="1"/>
  <c r="C136" i="100"/>
  <c r="Z136" i="173"/>
  <c r="U136" i="173"/>
  <c r="Y136" i="173"/>
  <c r="P136" i="173"/>
  <c r="N136" i="173"/>
  <c r="M136" i="173"/>
  <c r="T136" i="173"/>
  <c r="S136" i="173"/>
  <c r="AA136" i="173"/>
  <c r="W136" i="173"/>
  <c r="V136" i="173"/>
  <c r="L136" i="173"/>
  <c r="AB136" i="173"/>
  <c r="O136" i="173"/>
  <c r="Q136" i="173"/>
  <c r="K136" i="173"/>
  <c r="X136" i="173"/>
  <c r="R136" i="173"/>
  <c r="J136" i="173"/>
  <c r="E137" i="173"/>
  <c r="D137" i="173"/>
  <c r="C139" i="173"/>
  <c r="C138" i="173"/>
  <c r="H134" i="100"/>
  <c r="G134" i="100"/>
  <c r="I134" i="100"/>
  <c r="F134" i="100"/>
  <c r="R134" i="100"/>
  <c r="T134" i="100"/>
  <c r="AA134" i="100"/>
  <c r="V134" i="100"/>
  <c r="X134" i="100"/>
  <c r="P134" i="100"/>
  <c r="N134" i="100"/>
  <c r="S134" i="100"/>
  <c r="O134" i="100"/>
  <c r="AB134" i="100"/>
  <c r="M134" i="100"/>
  <c r="K134" i="100"/>
  <c r="Z134" i="100"/>
  <c r="W134" i="100"/>
  <c r="Y134" i="100"/>
  <c r="U134" i="100"/>
  <c r="Q134" i="100"/>
  <c r="L134" i="100"/>
  <c r="J134" i="100"/>
  <c r="B137" i="100"/>
  <c r="A138" i="100"/>
  <c r="H136" i="173"/>
  <c r="F136" i="173"/>
  <c r="I136" i="173"/>
  <c r="G136" i="173"/>
  <c r="D135" i="100"/>
  <c r="E135" i="100"/>
  <c r="I133" i="172"/>
  <c r="AE128" i="140"/>
  <c r="S134" i="172" l="1"/>
  <c r="T134" i="172"/>
  <c r="R134" i="172"/>
  <c r="P133" i="172"/>
  <c r="Q133" i="172"/>
  <c r="J135" i="172"/>
  <c r="G135" i="172"/>
  <c r="H135" i="172" s="1"/>
  <c r="M133" i="172"/>
  <c r="O133" i="172"/>
  <c r="L133" i="172"/>
  <c r="N133" i="172"/>
  <c r="M134" i="172"/>
  <c r="B138" i="172"/>
  <c r="F138" i="172" s="1"/>
  <c r="E138" i="172" s="1"/>
  <c r="C136" i="172"/>
  <c r="D136" i="172" s="1"/>
  <c r="E138" i="173"/>
  <c r="D138" i="173"/>
  <c r="V137" i="173"/>
  <c r="S137" i="173"/>
  <c r="Y137" i="173"/>
  <c r="U137" i="173"/>
  <c r="Q137" i="173"/>
  <c r="M137" i="173"/>
  <c r="Z137" i="173"/>
  <c r="AB137" i="173"/>
  <c r="L137" i="173"/>
  <c r="P137" i="173"/>
  <c r="R137" i="173"/>
  <c r="X137" i="173"/>
  <c r="T137" i="173"/>
  <c r="AA137" i="173"/>
  <c r="N137" i="173"/>
  <c r="W137" i="173"/>
  <c r="K137" i="173"/>
  <c r="O137" i="173"/>
  <c r="J137" i="173"/>
  <c r="B138" i="100"/>
  <c r="A139" i="100"/>
  <c r="B139" i="100" s="1"/>
  <c r="I137" i="173"/>
  <c r="G137" i="173"/>
  <c r="H137" i="173"/>
  <c r="F137" i="173"/>
  <c r="F135" i="100"/>
  <c r="H135" i="100"/>
  <c r="G135" i="100"/>
  <c r="I135" i="100"/>
  <c r="V135" i="100"/>
  <c r="M135" i="100"/>
  <c r="AA135" i="100"/>
  <c r="O135" i="100"/>
  <c r="N135" i="100"/>
  <c r="K135" i="100"/>
  <c r="Y135" i="100"/>
  <c r="AB135" i="100"/>
  <c r="W135" i="100"/>
  <c r="U135" i="100"/>
  <c r="Z135" i="100"/>
  <c r="L135" i="100"/>
  <c r="T135" i="100"/>
  <c r="P135" i="100"/>
  <c r="R135" i="100"/>
  <c r="X135" i="100"/>
  <c r="S135" i="100"/>
  <c r="Q135" i="100"/>
  <c r="J135" i="100"/>
  <c r="C137" i="100"/>
  <c r="E139" i="173"/>
  <c r="D139" i="173"/>
  <c r="D136" i="100"/>
  <c r="E136" i="100"/>
  <c r="AE129" i="140"/>
  <c r="I134" i="172"/>
  <c r="R135" i="172" l="1"/>
  <c r="T135" i="172"/>
  <c r="S135" i="172"/>
  <c r="P134" i="172"/>
  <c r="L134" i="172"/>
  <c r="Q134" i="172"/>
  <c r="O135" i="172"/>
  <c r="J136" i="172"/>
  <c r="G136" i="172"/>
  <c r="H136" i="172" s="1"/>
  <c r="N134" i="172"/>
  <c r="K134" i="172"/>
  <c r="O134" i="172"/>
  <c r="C137" i="172"/>
  <c r="D137" i="172" s="1"/>
  <c r="Y139" i="173"/>
  <c r="AB139" i="173"/>
  <c r="W139" i="173"/>
  <c r="S139" i="173"/>
  <c r="V139" i="173"/>
  <c r="O139" i="173"/>
  <c r="K139" i="173"/>
  <c r="R139" i="173"/>
  <c r="Z139" i="173"/>
  <c r="M139" i="173"/>
  <c r="P139" i="173"/>
  <c r="AA139" i="173"/>
  <c r="X139" i="173"/>
  <c r="U139" i="173"/>
  <c r="T139" i="173"/>
  <c r="N139" i="173"/>
  <c r="L139" i="173"/>
  <c r="Q139" i="173"/>
  <c r="J139" i="173"/>
  <c r="Z138" i="173"/>
  <c r="S138" i="173"/>
  <c r="AB138" i="173"/>
  <c r="M138" i="173"/>
  <c r="R138" i="173"/>
  <c r="T138" i="173"/>
  <c r="AA138" i="173"/>
  <c r="P138" i="173"/>
  <c r="O138" i="173"/>
  <c r="L138" i="173"/>
  <c r="Q138" i="173"/>
  <c r="X138" i="173"/>
  <c r="U138" i="173"/>
  <c r="N138" i="173"/>
  <c r="Y138" i="173"/>
  <c r="V138" i="173"/>
  <c r="K138" i="173"/>
  <c r="W138" i="173"/>
  <c r="J138" i="173"/>
  <c r="I139" i="173"/>
  <c r="G139" i="173"/>
  <c r="F139" i="173"/>
  <c r="H139" i="173"/>
  <c r="C139" i="100"/>
  <c r="F138" i="173"/>
  <c r="G138" i="173"/>
  <c r="H138" i="173"/>
  <c r="I138" i="173"/>
  <c r="H136" i="100"/>
  <c r="F136" i="100"/>
  <c r="I136" i="100"/>
  <c r="G136" i="100"/>
  <c r="C138" i="100"/>
  <c r="L136" i="100"/>
  <c r="V136" i="100"/>
  <c r="P136" i="100"/>
  <c r="AA136" i="100"/>
  <c r="T136" i="100"/>
  <c r="S136" i="100"/>
  <c r="Y136" i="100"/>
  <c r="X136" i="100"/>
  <c r="W136" i="100"/>
  <c r="U136" i="100"/>
  <c r="K136" i="100"/>
  <c r="Z136" i="100"/>
  <c r="AB136" i="100"/>
  <c r="Q136" i="100"/>
  <c r="N136" i="100"/>
  <c r="M136" i="100"/>
  <c r="R136" i="100"/>
  <c r="O136" i="100"/>
  <c r="J136" i="100"/>
  <c r="E137" i="100"/>
  <c r="D137" i="100"/>
  <c r="I135" i="172"/>
  <c r="AE130" i="140"/>
  <c r="T136" i="172" l="1"/>
  <c r="R136" i="172"/>
  <c r="S136" i="172"/>
  <c r="B139" i="172"/>
  <c r="F139" i="172" s="1"/>
  <c r="E139" i="172" s="1"/>
  <c r="P135" i="172"/>
  <c r="G137" i="172"/>
  <c r="H137" i="172" s="1"/>
  <c r="J137" i="172"/>
  <c r="Q135" i="172"/>
  <c r="L136" i="172"/>
  <c r="N135" i="172"/>
  <c r="K135" i="172"/>
  <c r="L135" i="172"/>
  <c r="M135" i="172"/>
  <c r="C138" i="172"/>
  <c r="D138" i="172" s="1"/>
  <c r="O137" i="100"/>
  <c r="K137" i="100"/>
  <c r="L137" i="100"/>
  <c r="R137" i="100"/>
  <c r="AB137" i="100"/>
  <c r="Q137" i="100"/>
  <c r="AA137" i="100"/>
  <c r="T137" i="100"/>
  <c r="M137" i="100"/>
  <c r="W137" i="100"/>
  <c r="U137" i="100"/>
  <c r="S137" i="100"/>
  <c r="P137" i="100"/>
  <c r="N137" i="100"/>
  <c r="V137" i="100"/>
  <c r="Y137" i="100"/>
  <c r="X137" i="100"/>
  <c r="Z137" i="100"/>
  <c r="J137" i="100"/>
  <c r="D139" i="100"/>
  <c r="E139" i="100"/>
  <c r="D138" i="100"/>
  <c r="E138" i="100"/>
  <c r="G137" i="100"/>
  <c r="F137" i="100"/>
  <c r="I137" i="100"/>
  <c r="H137" i="100"/>
  <c r="AH8" i="140"/>
  <c r="AH75" i="140"/>
  <c r="AH11" i="140"/>
  <c r="AH69" i="140"/>
  <c r="AH70" i="140"/>
  <c r="AH13" i="140"/>
  <c r="AH67" i="140"/>
  <c r="AH30" i="140"/>
  <c r="AH34" i="140"/>
  <c r="AH6" i="140"/>
  <c r="AH95" i="140"/>
  <c r="AH80" i="140"/>
  <c r="AH51" i="140"/>
  <c r="AH28" i="140"/>
  <c r="AH73" i="140"/>
  <c r="AH56" i="140"/>
  <c r="AH60" i="140"/>
  <c r="AH26" i="140"/>
  <c r="AH74" i="140"/>
  <c r="AH27" i="140"/>
  <c r="AH43" i="140"/>
  <c r="AH47" i="140"/>
  <c r="I136" i="172"/>
  <c r="AH18" i="140"/>
  <c r="AH92" i="140"/>
  <c r="AH53" i="140"/>
  <c r="AH88" i="140"/>
  <c r="AH91" i="140"/>
  <c r="AH66" i="140"/>
  <c r="AH77" i="140"/>
  <c r="AH14" i="140"/>
  <c r="AH17" i="140"/>
  <c r="AH39" i="140"/>
  <c r="AH52" i="140"/>
  <c r="AH59" i="140"/>
  <c r="AH36" i="140"/>
  <c r="AH46" i="140"/>
  <c r="AH57" i="140"/>
  <c r="AH90" i="140"/>
  <c r="AH38" i="140"/>
  <c r="AH61" i="140"/>
  <c r="AH94" i="140"/>
  <c r="AH32" i="140"/>
  <c r="AH86" i="140"/>
  <c r="AH48" i="140"/>
  <c r="AH76" i="140"/>
  <c r="AH49" i="140"/>
  <c r="AH19" i="140"/>
  <c r="AH3" i="140"/>
  <c r="AH41" i="140"/>
  <c r="AH45" i="140"/>
  <c r="AH23" i="140"/>
  <c r="AH40" i="140"/>
  <c r="AH33" i="140"/>
  <c r="AH4" i="140"/>
  <c r="AH29" i="140"/>
  <c r="AH20" i="140"/>
  <c r="AH89" i="140"/>
  <c r="AH22" i="140"/>
  <c r="AH54" i="140"/>
  <c r="AH84" i="140"/>
  <c r="AH25" i="140"/>
  <c r="AH50" i="140"/>
  <c r="AH15" i="140"/>
  <c r="AH64" i="140"/>
  <c r="AH93" i="140"/>
  <c r="AH65" i="140"/>
  <c r="AH58" i="140"/>
  <c r="AE132" i="140"/>
  <c r="AH2" i="140"/>
  <c r="AH31" i="140"/>
  <c r="AH85" i="140"/>
  <c r="AE131" i="140"/>
  <c r="AH96" i="140"/>
  <c r="AH7" i="140"/>
  <c r="AH10" i="140"/>
  <c r="AH5" i="140"/>
  <c r="AH81" i="140"/>
  <c r="AH87" i="140"/>
  <c r="AH37" i="140"/>
  <c r="AH24" i="140"/>
  <c r="AH44" i="140"/>
  <c r="AH78" i="140"/>
  <c r="AH42" i="140"/>
  <c r="AH9" i="140"/>
  <c r="AH62" i="140"/>
  <c r="AH72" i="140"/>
  <c r="AH21" i="140"/>
  <c r="AH63" i="140"/>
  <c r="AH16" i="140"/>
  <c r="AH83" i="140"/>
  <c r="AH55" i="140"/>
  <c r="AH79" i="140"/>
  <c r="AH12" i="140"/>
  <c r="AH68" i="140"/>
  <c r="AH35" i="140"/>
  <c r="AH71" i="140"/>
  <c r="AH97" i="140"/>
  <c r="AH82" i="140"/>
  <c r="J9" i="172" l="1"/>
  <c r="R137" i="172"/>
  <c r="S137" i="172"/>
  <c r="T137" i="172"/>
  <c r="C139" i="172"/>
  <c r="D139" i="172" s="1"/>
  <c r="P136" i="172"/>
  <c r="N136" i="172"/>
  <c r="O136" i="172"/>
  <c r="J138" i="172"/>
  <c r="G138" i="172"/>
  <c r="H138" i="172" s="1"/>
  <c r="K136" i="172"/>
  <c r="Q136" i="172"/>
  <c r="M136" i="172"/>
  <c r="K137" i="172"/>
  <c r="F139" i="100"/>
  <c r="H139" i="100"/>
  <c r="I139" i="100"/>
  <c r="G139" i="100"/>
  <c r="AB139" i="100"/>
  <c r="L139" i="100"/>
  <c r="Y139" i="100"/>
  <c r="Q139" i="100"/>
  <c r="K139" i="100"/>
  <c r="O139" i="100"/>
  <c r="U139" i="100"/>
  <c r="T139" i="100"/>
  <c r="Z139" i="100"/>
  <c r="W139" i="100"/>
  <c r="AA139" i="100"/>
  <c r="N139" i="100"/>
  <c r="P139" i="100"/>
  <c r="S139" i="100"/>
  <c r="X139" i="100"/>
  <c r="M139" i="100"/>
  <c r="R139" i="100"/>
  <c r="V139" i="100"/>
  <c r="J139" i="100"/>
  <c r="G138" i="100"/>
  <c r="H138" i="100"/>
  <c r="I138" i="100"/>
  <c r="F138" i="100"/>
  <c r="R138" i="100"/>
  <c r="Q138" i="100"/>
  <c r="N138" i="100"/>
  <c r="U138" i="100"/>
  <c r="T138" i="100"/>
  <c r="S138" i="100"/>
  <c r="AA138" i="100"/>
  <c r="M138" i="100"/>
  <c r="AB138" i="100"/>
  <c r="K138" i="100"/>
  <c r="X138" i="100"/>
  <c r="L138" i="100"/>
  <c r="W138" i="100"/>
  <c r="V138" i="100"/>
  <c r="P138" i="100"/>
  <c r="Z138" i="100"/>
  <c r="O138" i="100"/>
  <c r="Y138" i="100"/>
  <c r="J138" i="100"/>
  <c r="I137" i="172"/>
  <c r="S138" i="172" l="1"/>
  <c r="R138" i="172"/>
  <c r="T138" i="172"/>
  <c r="G139" i="172"/>
  <c r="H139" i="172" s="1"/>
  <c r="J139" i="172"/>
  <c r="P137" i="172"/>
  <c r="Q137" i="172"/>
  <c r="O137" i="172"/>
  <c r="M137" i="172"/>
  <c r="K138" i="172"/>
  <c r="N137" i="172"/>
  <c r="L137" i="172"/>
  <c r="I138" i="172"/>
  <c r="I139" i="172"/>
  <c r="T139" i="172" l="1"/>
  <c r="R139" i="172"/>
  <c r="S139" i="172"/>
  <c r="N139" i="172"/>
  <c r="K139" i="172"/>
  <c r="M139" i="172"/>
  <c r="Q139" i="172"/>
  <c r="P139" i="172"/>
  <c r="O139" i="172"/>
  <c r="L139" i="172"/>
  <c r="N138" i="172"/>
  <c r="L138" i="172"/>
  <c r="O138" i="172"/>
  <c r="M138" i="172"/>
  <c r="P138" i="172"/>
  <c r="Q138" i="172"/>
</calcChain>
</file>

<file path=xl/sharedStrings.xml><?xml version="1.0" encoding="utf-8"?>
<sst xmlns="http://schemas.openxmlformats.org/spreadsheetml/2006/main" count="1676" uniqueCount="1186">
  <si>
    <t>Rank</t>
  </si>
  <si>
    <t>Cat.</t>
  </si>
  <si>
    <t>Competitor</t>
  </si>
  <si>
    <t>W</t>
  </si>
  <si>
    <t>M</t>
  </si>
  <si>
    <t>J</t>
  </si>
  <si>
    <t>C</t>
  </si>
  <si>
    <t>Juniors</t>
  </si>
  <si>
    <t>Women</t>
  </si>
  <si>
    <t>Men</t>
  </si>
  <si>
    <t xml:space="preserve">Cadets  </t>
  </si>
  <si>
    <t>R10</t>
  </si>
  <si>
    <t>Croatia</t>
  </si>
  <si>
    <t>Russia</t>
  </si>
  <si>
    <t>Czechia</t>
  </si>
  <si>
    <t>Austria</t>
  </si>
  <si>
    <t>Hungary</t>
  </si>
  <si>
    <t>IAU WORLD CUP - CROSSBOW FIELD</t>
  </si>
  <si>
    <t>Target</t>
  </si>
  <si>
    <t>Bronze Medal Match</t>
  </si>
  <si>
    <t>Gold Medal Match</t>
  </si>
  <si>
    <t>France</t>
  </si>
  <si>
    <t>Country</t>
  </si>
  <si>
    <t>I</t>
  </si>
  <si>
    <t>II</t>
  </si>
  <si>
    <t>III</t>
  </si>
  <si>
    <t>IV</t>
  </si>
  <si>
    <t>V</t>
  </si>
  <si>
    <t>VI</t>
  </si>
  <si>
    <t>VII</t>
  </si>
  <si>
    <t>VIII</t>
  </si>
  <si>
    <t>IX</t>
  </si>
  <si>
    <t>X</t>
  </si>
  <si>
    <t>Senior Men</t>
  </si>
  <si>
    <t>SM</t>
  </si>
  <si>
    <t>SW</t>
  </si>
  <si>
    <t>Senior Women</t>
  </si>
  <si>
    <t>Belgium</t>
  </si>
  <si>
    <t>China</t>
  </si>
  <si>
    <t>Estonia</t>
  </si>
  <si>
    <t>Finland</t>
  </si>
  <si>
    <t>Great Britain</t>
  </si>
  <si>
    <t>Germany</t>
  </si>
  <si>
    <t>Hong Kong</t>
  </si>
  <si>
    <t>India</t>
  </si>
  <si>
    <t>Ireland</t>
  </si>
  <si>
    <t>Israel</t>
  </si>
  <si>
    <t>Italy</t>
  </si>
  <si>
    <t>Japan</t>
  </si>
  <si>
    <t>Kazakhstan</t>
  </si>
  <si>
    <t>Latvia</t>
  </si>
  <si>
    <t>Mongolia</t>
  </si>
  <si>
    <t>Netherlands</t>
  </si>
  <si>
    <t>Portugal</t>
  </si>
  <si>
    <t>Serbia</t>
  </si>
  <si>
    <t>Slovenia</t>
  </si>
  <si>
    <t>Switzerland</t>
  </si>
  <si>
    <t>Sweden</t>
  </si>
  <si>
    <t>AUT</t>
  </si>
  <si>
    <t>BEL</t>
  </si>
  <si>
    <t>CHN</t>
  </si>
  <si>
    <t>CRO</t>
  </si>
  <si>
    <t>CZE</t>
  </si>
  <si>
    <t>EST</t>
  </si>
  <si>
    <t>FIN</t>
  </si>
  <si>
    <t>FRA</t>
  </si>
  <si>
    <t>GBR</t>
  </si>
  <si>
    <t>GER</t>
  </si>
  <si>
    <t>HKG</t>
  </si>
  <si>
    <t>HUN</t>
  </si>
  <si>
    <t>IND</t>
  </si>
  <si>
    <t>IRL</t>
  </si>
  <si>
    <t>ISR</t>
  </si>
  <si>
    <t>ITA</t>
  </si>
  <si>
    <t>JPN</t>
  </si>
  <si>
    <t>KAZ</t>
  </si>
  <si>
    <t>NED</t>
  </si>
  <si>
    <t>POR</t>
  </si>
  <si>
    <t>RUS</t>
  </si>
  <si>
    <t>SRB</t>
  </si>
  <si>
    <t>SLO</t>
  </si>
  <si>
    <t>SUI</t>
  </si>
  <si>
    <t>SWE</t>
  </si>
  <si>
    <t>COU</t>
  </si>
  <si>
    <t>Afghanistan</t>
  </si>
  <si>
    <t>Netherlands Antilles</t>
  </si>
  <si>
    <t>Anguilla</t>
  </si>
  <si>
    <t>Albania</t>
  </si>
  <si>
    <t>Algeria</t>
  </si>
  <si>
    <t>Andorra</t>
  </si>
  <si>
    <t>Angola</t>
  </si>
  <si>
    <t>Antigua &amp; Barbuda</t>
  </si>
  <si>
    <t>Argentina</t>
  </si>
  <si>
    <t>Armenia</t>
  </si>
  <si>
    <t>Aruba</t>
  </si>
  <si>
    <t>American Samoa</t>
  </si>
  <si>
    <t>Australia</t>
  </si>
  <si>
    <t>Azerbaijan</t>
  </si>
  <si>
    <t>Bahamas</t>
  </si>
  <si>
    <t>Bangladesh</t>
  </si>
  <si>
    <t>Barbados</t>
  </si>
  <si>
    <t>Burundi</t>
  </si>
  <si>
    <t>Benin</t>
  </si>
  <si>
    <t>Bermuda</t>
  </si>
  <si>
    <t>Bhutan</t>
  </si>
  <si>
    <t>Bosnia-Herzegovina</t>
  </si>
  <si>
    <t>Belize</t>
  </si>
  <si>
    <t>Belarus</t>
  </si>
  <si>
    <t>Bolivia</t>
  </si>
  <si>
    <t>Botswana</t>
  </si>
  <si>
    <t>Brazil</t>
  </si>
  <si>
    <t>Bahrain</t>
  </si>
  <si>
    <t>Brunei</t>
  </si>
  <si>
    <t>Bulgaria</t>
  </si>
  <si>
    <t>Burkina Faso</t>
  </si>
  <si>
    <t>Central African Republic</t>
  </si>
  <si>
    <t>Cambodia</t>
  </si>
  <si>
    <t>Canada</t>
  </si>
  <si>
    <t>Cayman Islands</t>
  </si>
  <si>
    <t>Chad</t>
  </si>
  <si>
    <t>Chile</t>
  </si>
  <si>
    <t>Congo</t>
  </si>
  <si>
    <t>Cote d'Ivoire</t>
  </si>
  <si>
    <t>Cameroon</t>
  </si>
  <si>
    <t>Democratic Republic of the Congo</t>
  </si>
  <si>
    <t>Cook Islands</t>
  </si>
  <si>
    <t>Colombia</t>
  </si>
  <si>
    <t>Comoros</t>
  </si>
  <si>
    <t>Cape Verde</t>
  </si>
  <si>
    <t>Costa Rica</t>
  </si>
  <si>
    <t>Cuba</t>
  </si>
  <si>
    <t>Cyprus</t>
  </si>
  <si>
    <t>Czech Republic</t>
  </si>
  <si>
    <t>Denmark</t>
  </si>
  <si>
    <t>Djibouti</t>
  </si>
  <si>
    <t>Dominica</t>
  </si>
  <si>
    <t>Dominican Republic</t>
  </si>
  <si>
    <t>Ecuador</t>
  </si>
  <si>
    <t>Egypt</t>
  </si>
  <si>
    <t>Eritrea</t>
  </si>
  <si>
    <t>El Salvador</t>
  </si>
  <si>
    <t>Spain</t>
  </si>
  <si>
    <t>Ethiopia</t>
  </si>
  <si>
    <t>Fiji</t>
  </si>
  <si>
    <t>Federal States of Micronesia</t>
  </si>
  <si>
    <t>Gabon</t>
  </si>
  <si>
    <t>Gambia</t>
  </si>
  <si>
    <t>Guinea Bissau</t>
  </si>
  <si>
    <t>Georgia</t>
  </si>
  <si>
    <t>Equatorial Guinea</t>
  </si>
  <si>
    <t>Ghana</t>
  </si>
  <si>
    <t>Gibraltar</t>
  </si>
  <si>
    <t>Greece</t>
  </si>
  <si>
    <t>Grenada</t>
  </si>
  <si>
    <t>Guatemala</t>
  </si>
  <si>
    <t>Guinea</t>
  </si>
  <si>
    <t>Guam</t>
  </si>
  <si>
    <t>Guyana</t>
  </si>
  <si>
    <t>Haiti</t>
  </si>
  <si>
    <t>Honduras</t>
  </si>
  <si>
    <t>Indonesia</t>
  </si>
  <si>
    <t>Iran</t>
  </si>
  <si>
    <t>Iraq</t>
  </si>
  <si>
    <t>Iceland</t>
  </si>
  <si>
    <t>Virgin Islands</t>
  </si>
  <si>
    <t>British Virgin Islands</t>
  </si>
  <si>
    <t>Jamaica</t>
  </si>
  <si>
    <t>Jordan</t>
  </si>
  <si>
    <t>Kenya</t>
  </si>
  <si>
    <t>Kyrgyzstan</t>
  </si>
  <si>
    <t>Kiribati</t>
  </si>
  <si>
    <t>South Korea</t>
  </si>
  <si>
    <t>Kosovo</t>
  </si>
  <si>
    <t>Saudi Arabia</t>
  </si>
  <si>
    <t>Kuwait</t>
  </si>
  <si>
    <t>Laos</t>
  </si>
  <si>
    <t>Libya</t>
  </si>
  <si>
    <t>Liberia</t>
  </si>
  <si>
    <t>Saint Lucia</t>
  </si>
  <si>
    <t>Lesotho</t>
  </si>
  <si>
    <t>Lebanon</t>
  </si>
  <si>
    <t>Liechtenstein</t>
  </si>
  <si>
    <t>Lithuania</t>
  </si>
  <si>
    <t>Luxembourg</t>
  </si>
  <si>
    <t>Macau</t>
  </si>
  <si>
    <t>Madagascar</t>
  </si>
  <si>
    <t>Morocco</t>
  </si>
  <si>
    <t>Malaysia</t>
  </si>
  <si>
    <t>Malawi</t>
  </si>
  <si>
    <t>Moldova</t>
  </si>
  <si>
    <t>Maldives</t>
  </si>
  <si>
    <t>Mexico</t>
  </si>
  <si>
    <t>Marshall Islands</t>
  </si>
  <si>
    <t>Macedonia</t>
  </si>
  <si>
    <t>Mali</t>
  </si>
  <si>
    <t>Malta</t>
  </si>
  <si>
    <t>Montenegro</t>
  </si>
  <si>
    <t>Montserrat</t>
  </si>
  <si>
    <t>Monaco</t>
  </si>
  <si>
    <t>Mozambique</t>
  </si>
  <si>
    <t>Mauritius</t>
  </si>
  <si>
    <t>Mauritania</t>
  </si>
  <si>
    <t>Myanmar</t>
  </si>
  <si>
    <t>Namibia</t>
  </si>
  <si>
    <t>Nicaragua</t>
  </si>
  <si>
    <t>Nepal</t>
  </si>
  <si>
    <t>Nigeria</t>
  </si>
  <si>
    <t>Niger</t>
  </si>
  <si>
    <t>Norway</t>
  </si>
  <si>
    <t>Nauru</t>
  </si>
  <si>
    <t>New Zealand</t>
  </si>
  <si>
    <t>Oman</t>
  </si>
  <si>
    <t>Pakistan</t>
  </si>
  <si>
    <t>Panama</t>
  </si>
  <si>
    <t>Paraguay</t>
  </si>
  <si>
    <t>Peru</t>
  </si>
  <si>
    <t>Philippines</t>
  </si>
  <si>
    <t>Palestine</t>
  </si>
  <si>
    <t>Palau</t>
  </si>
  <si>
    <t>Papua New Guinea</t>
  </si>
  <si>
    <t>Poland</t>
  </si>
  <si>
    <t>North Korea</t>
  </si>
  <si>
    <t>Puerto Rico</t>
  </si>
  <si>
    <t>French Polynesia</t>
  </si>
  <si>
    <t>Qatar</t>
  </si>
  <si>
    <t>Romania</t>
  </si>
  <si>
    <t>South Africa</t>
  </si>
  <si>
    <t>Rwanda</t>
  </si>
  <si>
    <t>Samoa</t>
  </si>
  <si>
    <t>Senegal</t>
  </si>
  <si>
    <t>Seychelles</t>
  </si>
  <si>
    <t>Singapore</t>
  </si>
  <si>
    <t>Saint Kitts and Nevis</t>
  </si>
  <si>
    <t>Sierra Leone</t>
  </si>
  <si>
    <t>San Marino</t>
  </si>
  <si>
    <t>Solomon Islands</t>
  </si>
  <si>
    <t>Somalia</t>
  </si>
  <si>
    <t>Sri Lanka</t>
  </si>
  <si>
    <t>South Sudan</t>
  </si>
  <si>
    <t>Sao Tome and Principe</t>
  </si>
  <si>
    <t>Sudan</t>
  </si>
  <si>
    <t>Suriname</t>
  </si>
  <si>
    <t>Slovakia</t>
  </si>
  <si>
    <t>Swaziland</t>
  </si>
  <si>
    <t>Syria</t>
  </si>
  <si>
    <t>Tanzania</t>
  </si>
  <si>
    <t>Tonga</t>
  </si>
  <si>
    <t>Thailand</t>
  </si>
  <si>
    <t>Tajikistan</t>
  </si>
  <si>
    <t>Turkmenistan</t>
  </si>
  <si>
    <t>Turks and Caicos Islands</t>
  </si>
  <si>
    <t>East Timor</t>
  </si>
  <si>
    <t>Togo</t>
  </si>
  <si>
    <t>Taiwan</t>
  </si>
  <si>
    <t>Trinidad and Tobago</t>
  </si>
  <si>
    <t>Tunisia</t>
  </si>
  <si>
    <t>Turkey</t>
  </si>
  <si>
    <t>Tuvalu</t>
  </si>
  <si>
    <t>United Arab Emirates</t>
  </si>
  <si>
    <t>Uganda</t>
  </si>
  <si>
    <t>Ukraine</t>
  </si>
  <si>
    <t>Uruguay</t>
  </si>
  <si>
    <t>United States of America</t>
  </si>
  <si>
    <t>Uzbekistan</t>
  </si>
  <si>
    <t>Vanuatu</t>
  </si>
  <si>
    <t>Venezuela</t>
  </si>
  <si>
    <t>Vietnam</t>
  </si>
  <si>
    <t>Saint Vincent and Grenadines</t>
  </si>
  <si>
    <t>Yemen</t>
  </si>
  <si>
    <t>Zambia</t>
  </si>
  <si>
    <t>Zimbabwe</t>
  </si>
  <si>
    <t>AFG</t>
  </si>
  <si>
    <t>AHO</t>
  </si>
  <si>
    <t>AIA</t>
  </si>
  <si>
    <t>ALB</t>
  </si>
  <si>
    <t>ALG</t>
  </si>
  <si>
    <t>AND</t>
  </si>
  <si>
    <t>ANG</t>
  </si>
  <si>
    <t>ANT</t>
  </si>
  <si>
    <t>ARG</t>
  </si>
  <si>
    <t>ARM</t>
  </si>
  <si>
    <t>ARU</t>
  </si>
  <si>
    <t>ASA</t>
  </si>
  <si>
    <t>AUS</t>
  </si>
  <si>
    <t>AZE</t>
  </si>
  <si>
    <t>BAH</t>
  </si>
  <si>
    <t>BAN</t>
  </si>
  <si>
    <t>BAR</t>
  </si>
  <si>
    <t>BDI</t>
  </si>
  <si>
    <t>BEN</t>
  </si>
  <si>
    <t>BER</t>
  </si>
  <si>
    <t>BHU</t>
  </si>
  <si>
    <t>BIH</t>
  </si>
  <si>
    <t>BIZ</t>
  </si>
  <si>
    <t>BLR</t>
  </si>
  <si>
    <t>BOL</t>
  </si>
  <si>
    <t>BOT</t>
  </si>
  <si>
    <t>BRA</t>
  </si>
  <si>
    <t>BRN</t>
  </si>
  <si>
    <t>BRU</t>
  </si>
  <si>
    <t>BUL</t>
  </si>
  <si>
    <t>BUR</t>
  </si>
  <si>
    <t>CAF</t>
  </si>
  <si>
    <t>CAM</t>
  </si>
  <si>
    <t>CAN</t>
  </si>
  <si>
    <t>CAY</t>
  </si>
  <si>
    <t>CGO</t>
  </si>
  <si>
    <t>CHA</t>
  </si>
  <si>
    <t>CHI</t>
  </si>
  <si>
    <t>CIV</t>
  </si>
  <si>
    <t>CMR</t>
  </si>
  <si>
    <t>COD</t>
  </si>
  <si>
    <t>COK</t>
  </si>
  <si>
    <t>COL</t>
  </si>
  <si>
    <t>COM</t>
  </si>
  <si>
    <t>CPV</t>
  </si>
  <si>
    <t>CRC</t>
  </si>
  <si>
    <t>CUB</t>
  </si>
  <si>
    <t>CYP</t>
  </si>
  <si>
    <t>DEN</t>
  </si>
  <si>
    <t>DJI</t>
  </si>
  <si>
    <t>DMA</t>
  </si>
  <si>
    <t>DOM</t>
  </si>
  <si>
    <t>ECU</t>
  </si>
  <si>
    <t>EGY</t>
  </si>
  <si>
    <t>ERI</t>
  </si>
  <si>
    <t>ESA</t>
  </si>
  <si>
    <t>ESP</t>
  </si>
  <si>
    <t>ETH</t>
  </si>
  <si>
    <t>FIJ</t>
  </si>
  <si>
    <t>FSM</t>
  </si>
  <si>
    <t>GAB</t>
  </si>
  <si>
    <t>GAM</t>
  </si>
  <si>
    <t>GBS</t>
  </si>
  <si>
    <t>GEO</t>
  </si>
  <si>
    <t>GEQ</t>
  </si>
  <si>
    <t>GHA</t>
  </si>
  <si>
    <t>GIB</t>
  </si>
  <si>
    <t>GRE</t>
  </si>
  <si>
    <t>GRN</t>
  </si>
  <si>
    <t>GUA</t>
  </si>
  <si>
    <t>GUI</t>
  </si>
  <si>
    <t>GUM</t>
  </si>
  <si>
    <t>GUY</t>
  </si>
  <si>
    <t>HAI</t>
  </si>
  <si>
    <t>HON</t>
  </si>
  <si>
    <t>INA</t>
  </si>
  <si>
    <t>IRI</t>
  </si>
  <si>
    <t>IRQ</t>
  </si>
  <si>
    <t>ISL</t>
  </si>
  <si>
    <t>ISV</t>
  </si>
  <si>
    <t>IVB</t>
  </si>
  <si>
    <t>JAM</t>
  </si>
  <si>
    <t>JOR</t>
  </si>
  <si>
    <t>KEN</t>
  </si>
  <si>
    <t>KGZ</t>
  </si>
  <si>
    <t>KIR</t>
  </si>
  <si>
    <t>KOR</t>
  </si>
  <si>
    <t>KOS</t>
  </si>
  <si>
    <t>KSA</t>
  </si>
  <si>
    <t>KUW</t>
  </si>
  <si>
    <t>LAO</t>
  </si>
  <si>
    <t>LAT</t>
  </si>
  <si>
    <t>LBA</t>
  </si>
  <si>
    <t>LBR</t>
  </si>
  <si>
    <t>LCA</t>
  </si>
  <si>
    <t>LES</t>
  </si>
  <si>
    <t>LIB</t>
  </si>
  <si>
    <t>LIE</t>
  </si>
  <si>
    <t>LTU</t>
  </si>
  <si>
    <t>LUX</t>
  </si>
  <si>
    <t>MAC</t>
  </si>
  <si>
    <t>MAD</t>
  </si>
  <si>
    <t>MAR</t>
  </si>
  <si>
    <t>MAS</t>
  </si>
  <si>
    <t>MAW</t>
  </si>
  <si>
    <t>MDA</t>
  </si>
  <si>
    <t>MDV</t>
  </si>
  <si>
    <t>MEX</t>
  </si>
  <si>
    <t>MGL</t>
  </si>
  <si>
    <t>MHL</t>
  </si>
  <si>
    <t>MKD</t>
  </si>
  <si>
    <t>MLI</t>
  </si>
  <si>
    <t>MLT</t>
  </si>
  <si>
    <t>MNE</t>
  </si>
  <si>
    <t>MNT</t>
  </si>
  <si>
    <t>MON</t>
  </si>
  <si>
    <t>MOZ</t>
  </si>
  <si>
    <t>MRI</t>
  </si>
  <si>
    <t>MTN</t>
  </si>
  <si>
    <t>MYA</t>
  </si>
  <si>
    <t>NAM</t>
  </si>
  <si>
    <t>NCA</t>
  </si>
  <si>
    <t>NEP</t>
  </si>
  <si>
    <t>NGR</t>
  </si>
  <si>
    <t>NIG</t>
  </si>
  <si>
    <t>NOR</t>
  </si>
  <si>
    <t>NRU</t>
  </si>
  <si>
    <t>NZL</t>
  </si>
  <si>
    <t>OMA</t>
  </si>
  <si>
    <t>PAK</t>
  </si>
  <si>
    <t>PAN</t>
  </si>
  <si>
    <t>PAR</t>
  </si>
  <si>
    <t>PER</t>
  </si>
  <si>
    <t>PHI</t>
  </si>
  <si>
    <t>PLE</t>
  </si>
  <si>
    <t>PLW</t>
  </si>
  <si>
    <t>PNG</t>
  </si>
  <si>
    <t>POL</t>
  </si>
  <si>
    <t>PRK</t>
  </si>
  <si>
    <t>PUR</t>
  </si>
  <si>
    <t>PYF</t>
  </si>
  <si>
    <t>QAT</t>
  </si>
  <si>
    <t>ROU</t>
  </si>
  <si>
    <t>RSA</t>
  </si>
  <si>
    <t>RWA</t>
  </si>
  <si>
    <t>SAM</t>
  </si>
  <si>
    <t>SEN</t>
  </si>
  <si>
    <t>SEY</t>
  </si>
  <si>
    <t>SIN</t>
  </si>
  <si>
    <t>SKN</t>
  </si>
  <si>
    <t>SLE</t>
  </si>
  <si>
    <t>SMR</t>
  </si>
  <si>
    <t>SOL</t>
  </si>
  <si>
    <t>SOM</t>
  </si>
  <si>
    <t>SRI</t>
  </si>
  <si>
    <t>SSD</t>
  </si>
  <si>
    <t>STP</t>
  </si>
  <si>
    <t>SUD</t>
  </si>
  <si>
    <t>SUR</t>
  </si>
  <si>
    <t>SVK</t>
  </si>
  <si>
    <t>SWZ</t>
  </si>
  <si>
    <t>SYR</t>
  </si>
  <si>
    <t>TAN</t>
  </si>
  <si>
    <t>TGA</t>
  </si>
  <si>
    <t>THA</t>
  </si>
  <si>
    <t>TJK</t>
  </si>
  <si>
    <t>TKM</t>
  </si>
  <si>
    <t>TKS</t>
  </si>
  <si>
    <t>TLS</t>
  </si>
  <si>
    <t>TOG</t>
  </si>
  <si>
    <t>TPE</t>
  </si>
  <si>
    <t>TTO</t>
  </si>
  <si>
    <t>TUN</t>
  </si>
  <si>
    <t>TUR</t>
  </si>
  <si>
    <t>TUV</t>
  </si>
  <si>
    <t>UAE</t>
  </si>
  <si>
    <t>UGA</t>
  </si>
  <si>
    <t>UKR</t>
  </si>
  <si>
    <t>URU</t>
  </si>
  <si>
    <t>USA</t>
  </si>
  <si>
    <t>UZB</t>
  </si>
  <si>
    <t>VAN</t>
  </si>
  <si>
    <t>VEN</t>
  </si>
  <si>
    <t>VIE</t>
  </si>
  <si>
    <t>VIN</t>
  </si>
  <si>
    <t>YEM</t>
  </si>
  <si>
    <t>ZAM</t>
  </si>
  <si>
    <t>ZIM</t>
  </si>
  <si>
    <t>K2:K17</t>
  </si>
  <si>
    <t>L2:L17</t>
  </si>
  <si>
    <t>M2:M17</t>
  </si>
  <si>
    <t>N2:N17</t>
  </si>
  <si>
    <t>O2:O17</t>
  </si>
  <si>
    <t>P2:P17</t>
  </si>
  <si>
    <t>Q2:Q17</t>
  </si>
  <si>
    <t>R2:R17</t>
  </si>
  <si>
    <t>S2:S17</t>
  </si>
  <si>
    <t>T2:T17</t>
  </si>
  <si>
    <t>U2:U17</t>
  </si>
  <si>
    <t>K18:K33</t>
  </si>
  <si>
    <t>L18:L33</t>
  </si>
  <si>
    <t>M18:M33</t>
  </si>
  <si>
    <t>N18:N33</t>
  </si>
  <si>
    <t>O18:O33</t>
  </si>
  <si>
    <t>P18:P33</t>
  </si>
  <si>
    <t>Q18:Q33</t>
  </si>
  <si>
    <t>R18:R33</t>
  </si>
  <si>
    <t>S18:S33</t>
  </si>
  <si>
    <t>T18:T33</t>
  </si>
  <si>
    <t>U18:U33</t>
  </si>
  <si>
    <t>K34:K49</t>
  </si>
  <si>
    <t>L34:L49</t>
  </si>
  <si>
    <t>M34:M49</t>
  </si>
  <si>
    <t>N34:N49</t>
  </si>
  <si>
    <t>O34:O49</t>
  </si>
  <si>
    <t>P34:P49</t>
  </si>
  <si>
    <t>Q34:Q49</t>
  </si>
  <si>
    <t>R34:R49</t>
  </si>
  <si>
    <t>S34:S49</t>
  </si>
  <si>
    <t>T34:T49</t>
  </si>
  <si>
    <t>U34:U49</t>
  </si>
  <si>
    <t>K50:K65</t>
  </si>
  <si>
    <t>L50:L65</t>
  </si>
  <si>
    <t>M50:M65</t>
  </si>
  <si>
    <t>N50:N65</t>
  </si>
  <si>
    <t>O50:O65</t>
  </si>
  <si>
    <t>P50:P65</t>
  </si>
  <si>
    <t>Q50:Q65</t>
  </si>
  <si>
    <t>R50:R65</t>
  </si>
  <si>
    <t>S50:S65</t>
  </si>
  <si>
    <t>T50:T65</t>
  </si>
  <si>
    <t>U50:U65</t>
  </si>
  <si>
    <t>K66:K81</t>
  </si>
  <si>
    <t>L66:L81</t>
  </si>
  <si>
    <t>M66:M81</t>
  </si>
  <si>
    <t>N66:N81</t>
  </si>
  <si>
    <t>O66:O81</t>
  </si>
  <si>
    <t>P66:P81</t>
  </si>
  <si>
    <t>Q66:Q81</t>
  </si>
  <si>
    <t>R66:R81</t>
  </si>
  <si>
    <t>S66:S81</t>
  </si>
  <si>
    <t>T66:T81</t>
  </si>
  <si>
    <t>U66:U81</t>
  </si>
  <si>
    <t>X2:X17</t>
  </si>
  <si>
    <t>X18:X33</t>
  </si>
  <si>
    <t>X34:X49</t>
  </si>
  <si>
    <t>X50:X65</t>
  </si>
  <si>
    <t>W2:W17</t>
  </si>
  <si>
    <t>W18:W33</t>
  </si>
  <si>
    <t>W34:W49</t>
  </si>
  <si>
    <t>W50:W65</t>
  </si>
  <si>
    <t>W66:W81</t>
  </si>
  <si>
    <t>X66:X81</t>
  </si>
  <si>
    <t>Y2:Y17</t>
  </si>
  <si>
    <t>Y18:Y33</t>
  </si>
  <si>
    <t>Y34:Y49</t>
  </si>
  <si>
    <t>Y50:Y65</t>
  </si>
  <si>
    <t>Y66:Y81</t>
  </si>
  <si>
    <t>Z2:Z17</t>
  </si>
  <si>
    <t>Z18:Z33</t>
  </si>
  <si>
    <t>Z34:Z49</t>
  </si>
  <si>
    <t>Z50:Z65</t>
  </si>
  <si>
    <t>Z66:Z81</t>
  </si>
  <si>
    <t>PRVENSTVO HRVATSKE - SAMOSTREL FIELD 18m</t>
  </si>
  <si>
    <t>R1</t>
  </si>
  <si>
    <t>R2</t>
  </si>
  <si>
    <t>SF</t>
  </si>
  <si>
    <t>MM</t>
  </si>
  <si>
    <t>W82:W97</t>
  </si>
  <si>
    <t>X82:X97</t>
  </si>
  <si>
    <t>Y82:Y97</t>
  </si>
  <si>
    <t>Z82:Z97</t>
  </si>
  <si>
    <t>K82:K97</t>
  </si>
  <si>
    <t>L82:L97</t>
  </si>
  <si>
    <t>M82:M97</t>
  </si>
  <si>
    <t>N82:N97</t>
  </si>
  <si>
    <t>O82:O97</t>
  </si>
  <si>
    <t>P82:P97</t>
  </si>
  <si>
    <t>Q82:Q97</t>
  </si>
  <si>
    <t>R82:R97</t>
  </si>
  <si>
    <t>S82:S97</t>
  </si>
  <si>
    <t>T82:T97</t>
  </si>
  <si>
    <t>U82:U97</t>
  </si>
  <si>
    <t>65m</t>
  </si>
  <si>
    <t>50m</t>
  </si>
  <si>
    <t>35m</t>
  </si>
  <si>
    <t>HR</t>
  </si>
  <si>
    <t>Language</t>
  </si>
  <si>
    <t>EN</t>
  </si>
  <si>
    <t>PRVENSTVO HRVATSKE - SAMOSTREL FIELD</t>
  </si>
  <si>
    <t>Indoor</t>
  </si>
  <si>
    <t>Field</t>
  </si>
  <si>
    <t>Shooting Range</t>
  </si>
  <si>
    <t>Date</t>
  </si>
  <si>
    <t xml:space="preserve">Žene     </t>
  </si>
  <si>
    <t xml:space="preserve">Juniori   </t>
  </si>
  <si>
    <t xml:space="preserve">Kadeti     </t>
  </si>
  <si>
    <t xml:space="preserve">Seniori     </t>
  </si>
  <si>
    <t xml:space="preserve">Seniorke     </t>
  </si>
  <si>
    <t>Comp</t>
  </si>
  <si>
    <t>Ca</t>
  </si>
  <si>
    <t>T</t>
  </si>
  <si>
    <t>SL</t>
  </si>
  <si>
    <t>Start List</t>
  </si>
  <si>
    <t>Natjecatelj</t>
  </si>
  <si>
    <t>Kat.</t>
  </si>
  <si>
    <t>Com</t>
  </si>
  <si>
    <t>Ta</t>
  </si>
  <si>
    <t>Meta</t>
  </si>
  <si>
    <t>Abbr.</t>
  </si>
  <si>
    <t>Len</t>
  </si>
  <si>
    <t>Category</t>
  </si>
  <si>
    <t>IAU WORLD CUP FINAL - CROSSBOW FIELD</t>
  </si>
  <si>
    <t>IAU WORLD CHAMPIONSHIP - CROSSBOW FIELD</t>
  </si>
  <si>
    <t>IAU EUROPEAN CHAMPIONSHIP - CROSSBOW FIELD</t>
  </si>
  <si>
    <t>Lang</t>
  </si>
  <si>
    <t>Loc</t>
  </si>
  <si>
    <t>Range</t>
  </si>
  <si>
    <t>Ty</t>
  </si>
  <si>
    <t>ID</t>
  </si>
  <si>
    <t>Da</t>
  </si>
  <si>
    <t>Competition Name</t>
  </si>
  <si>
    <t>Datum</t>
  </si>
  <si>
    <t>Redni broj (za kupove)</t>
  </si>
  <si>
    <t>Index no. (for Cup comp.)</t>
  </si>
  <si>
    <t>Jezik</t>
  </si>
  <si>
    <t>Mjesto</t>
  </si>
  <si>
    <t>Sportski teren/dvorana</t>
  </si>
  <si>
    <t>IAU WORLD CUP FINAL - CROSSBOW FIELD 18m</t>
  </si>
  <si>
    <t>Competitions</t>
  </si>
  <si>
    <t>Competiton Type</t>
  </si>
  <si>
    <t>Ranking
Coef</t>
  </si>
  <si>
    <t>Σ</t>
  </si>
  <si>
    <t>VELIKO TRGOVIŠĆE, Veliko Trgovišće</t>
  </si>
  <si>
    <t>STRIJELAC, Krušljevo Selo</t>
  </si>
  <si>
    <t>DUBRAVA 1094, Dubrava</t>
  </si>
  <si>
    <t>Table Settings</t>
  </si>
  <si>
    <t>IR300</t>
  </si>
  <si>
    <t>Notes</t>
  </si>
  <si>
    <t>-</t>
  </si>
  <si>
    <t>TS</t>
  </si>
  <si>
    <t>Startna lista</t>
  </si>
  <si>
    <t>Naziv natjecanja</t>
  </si>
  <si>
    <t>Tip natjecanja</t>
  </si>
  <si>
    <t>Postavke tablice</t>
  </si>
  <si>
    <t>English</t>
  </si>
  <si>
    <t>Hrvatski</t>
  </si>
  <si>
    <t>CZ</t>
  </si>
  <si>
    <t>DE</t>
  </si>
  <si>
    <t>FR</t>
  </si>
  <si>
    <t>Terč</t>
  </si>
  <si>
    <t>Muži</t>
  </si>
  <si>
    <t xml:space="preserve">Ženy </t>
  </si>
  <si>
    <t>Junioři</t>
  </si>
  <si>
    <t xml:space="preserve">Senioři  </t>
  </si>
  <si>
    <t>Střelec</t>
  </si>
  <si>
    <t>Startovní seznam</t>
  </si>
  <si>
    <t>Název soutěže</t>
  </si>
  <si>
    <t>Jazyk</t>
  </si>
  <si>
    <t>Město</t>
  </si>
  <si>
    <t>Sportovní hala</t>
  </si>
  <si>
    <t>Soutěžní typ</t>
  </si>
  <si>
    <t>Nastavení tabulky</t>
  </si>
  <si>
    <t>RU</t>
  </si>
  <si>
    <t>Мужчины</t>
  </si>
  <si>
    <t xml:space="preserve">женщины </t>
  </si>
  <si>
    <t xml:space="preserve">младшие  </t>
  </si>
  <si>
    <t xml:space="preserve">кадеты    </t>
  </si>
  <si>
    <t>Старшие мужчины</t>
  </si>
  <si>
    <t xml:space="preserve">Старшие женщины </t>
  </si>
  <si>
    <t>стрелок</t>
  </si>
  <si>
    <t>Дата</t>
  </si>
  <si>
    <t>язык</t>
  </si>
  <si>
    <t>Mесто</t>
  </si>
  <si>
    <t>Startliste</t>
  </si>
  <si>
    <t>Sprache</t>
  </si>
  <si>
    <t>Der Schießplatz</t>
  </si>
  <si>
    <t>Wettbewerbsname</t>
  </si>
  <si>
    <t>Wettbewerbstyp</t>
  </si>
  <si>
    <t>Scheibe</t>
  </si>
  <si>
    <t>Junioren</t>
  </si>
  <si>
    <t>Hommes</t>
  </si>
  <si>
    <t>Femmes Seniors</t>
  </si>
  <si>
    <t>Cible</t>
  </si>
  <si>
    <t>Arbalétrier</t>
  </si>
  <si>
    <t xml:space="preserve">Kadetten </t>
  </si>
  <si>
    <t xml:space="preserve">Senioren  </t>
  </si>
  <si>
    <t>Armbrustschütze</t>
  </si>
  <si>
    <t>Čeština</t>
  </si>
  <si>
    <t>Deutsch</t>
  </si>
  <si>
    <t>Herren</t>
  </si>
  <si>
    <t xml:space="preserve">Dammen </t>
  </si>
  <si>
    <t>Senioren Herren</t>
  </si>
  <si>
    <t xml:space="preserve">Senioren Dammen </t>
  </si>
  <si>
    <t>Sen</t>
  </si>
  <si>
    <t>Include Category SW</t>
  </si>
  <si>
    <t>S</t>
  </si>
  <si>
    <t xml:space="preserve">Seniors  </t>
  </si>
  <si>
    <t xml:space="preserve">Femmes </t>
  </si>
  <si>
    <t xml:space="preserve">Juniors </t>
  </si>
  <si>
    <t xml:space="preserve">Cadets   </t>
  </si>
  <si>
    <t xml:space="preserve">Seniors   </t>
  </si>
  <si>
    <t>Field/18m</t>
  </si>
  <si>
    <t>Enable</t>
  </si>
  <si>
    <t>Disable</t>
  </si>
  <si>
    <t>Ena</t>
  </si>
  <si>
    <t>Dis</t>
  </si>
  <si>
    <t>Uključi</t>
  </si>
  <si>
    <t>Isključi</t>
  </si>
  <si>
    <t>Zakázat</t>
  </si>
  <si>
    <t>Umožnit</t>
  </si>
  <si>
    <t>Aktivieren</t>
  </si>
  <si>
    <t>Deaktivieren</t>
  </si>
  <si>
    <t>Omogući Kat. Seniorke</t>
  </si>
  <si>
    <t>Umožnit Kat. Seniořky</t>
  </si>
  <si>
    <t>HALOVÝ ZÁVOD VE STŘELBE Z POLNÍ KUŠE</t>
  </si>
  <si>
    <t>MISTROVSTVI ČESKÉ REPUBLIKY VE STŘELBE Z POLNÍ KUŠE</t>
  </si>
  <si>
    <t>Klub/Društvo</t>
  </si>
  <si>
    <t>Oddíl/Družstvo</t>
  </si>
  <si>
    <t>VENKOVNÍ ZÁVOD VE STŘELBE Z POLNÍ KUŠE</t>
  </si>
  <si>
    <t xml:space="preserve">Kadeti  </t>
  </si>
  <si>
    <t xml:space="preserve">Seniořky  </t>
  </si>
  <si>
    <t>Aktivieren Kat. SW</t>
  </si>
  <si>
    <t>Pořadové číslo (za Mem.)</t>
  </si>
  <si>
    <t>GMM</t>
  </si>
  <si>
    <t>BMM</t>
  </si>
  <si>
    <t>Stand</t>
  </si>
  <si>
    <t>Finale</t>
  </si>
  <si>
    <t>Meč za 3. mjesto</t>
  </si>
  <si>
    <t>Bronzové finále</t>
  </si>
  <si>
    <t>Zlaté finále</t>
  </si>
  <si>
    <t>Final Standings</t>
  </si>
  <si>
    <t>Finalni poredak</t>
  </si>
  <si>
    <t>Konečné pořadí</t>
  </si>
  <si>
    <t>Spiel um Platz drei</t>
  </si>
  <si>
    <t>Endwertung</t>
  </si>
  <si>
    <t>Petite Finale</t>
  </si>
  <si>
    <t>Des.</t>
  </si>
  <si>
    <t>DUB, Malinska</t>
  </si>
  <si>
    <t>Exp Date</t>
  </si>
  <si>
    <t>Now</t>
  </si>
  <si>
    <t>Ž</t>
  </si>
  <si>
    <t>K</t>
  </si>
  <si>
    <t>Sky</t>
  </si>
  <si>
    <t>H</t>
  </si>
  <si>
    <t>D</t>
  </si>
  <si>
    <t>SD</t>
  </si>
  <si>
    <t>SH</t>
  </si>
  <si>
    <t>SŽ</t>
  </si>
  <si>
    <t>IAU Classic</t>
  </si>
  <si>
    <t>Teams</t>
  </si>
  <si>
    <t>Team</t>
  </si>
  <si>
    <t>IR900</t>
  </si>
  <si>
    <t>IR600</t>
  </si>
  <si>
    <t>Te</t>
  </si>
  <si>
    <t>IAU ASIAN CHAMPIONSHIP - CROSSBOW FIELD</t>
  </si>
  <si>
    <t>POZIVNI TURNIR - SAMOSTREL FIELD</t>
  </si>
  <si>
    <t>DEUTSCHE MEISTERSCHAFT - FELDARMBRUST</t>
  </si>
  <si>
    <t>WELTMEISTERSCHAFT QUALIFIKATION - FELDARMBRUST</t>
  </si>
  <si>
    <t>Mannschaft</t>
  </si>
  <si>
    <t>Tea</t>
  </si>
  <si>
    <t>Ekipno</t>
  </si>
  <si>
    <t>Mannschaftswertung</t>
  </si>
  <si>
    <t>Týmy</t>
  </si>
  <si>
    <t>City (Cou.)</t>
  </si>
  <si>
    <t>Stadt</t>
  </si>
  <si>
    <t>IVANIĆ, Ivanić Grad</t>
  </si>
  <si>
    <t>PREDIONICA, Klanjec</t>
  </si>
  <si>
    <t>POŽEGA, Požega</t>
  </si>
  <si>
    <t>PGSD ZAGREB, Zagreb</t>
  </si>
  <si>
    <t>Cadets</t>
  </si>
  <si>
    <t>Seniors</t>
  </si>
  <si>
    <t>R16</t>
  </si>
  <si>
    <t>QF</t>
  </si>
  <si>
    <t>Muški</t>
  </si>
  <si>
    <t>AC</t>
  </si>
  <si>
    <t>Activation Code</t>
  </si>
  <si>
    <t>Aktivacijski kod</t>
  </si>
  <si>
    <t>Aktivačni kód</t>
  </si>
  <si>
    <t>Aktivierungskode</t>
  </si>
  <si>
    <t>U47D-R4WK-AXYU</t>
  </si>
  <si>
    <t>W6IX-KUDQ-WWCH</t>
  </si>
  <si>
    <t>91KP-WR2X-CBHC</t>
  </si>
  <si>
    <t>TFBY-ILWI-QPF7</t>
  </si>
  <si>
    <t>6JRW-RGM7-5R0T</t>
  </si>
  <si>
    <t>SJQ5-CTLS-TJHQ</t>
  </si>
  <si>
    <t>S3JL-NY5V-6C8E</t>
  </si>
  <si>
    <t>9B4K-P7BQ-LLJP</t>
  </si>
  <si>
    <t>TUNX-ZWMK-G4JD</t>
  </si>
  <si>
    <t>G35M-RPKV-M6BH</t>
  </si>
  <si>
    <t>NUYH-MV27-MG5X</t>
  </si>
  <si>
    <t>7TQR-73E9-6044</t>
  </si>
  <si>
    <t>ZZ1Q-OBX4-ABUI</t>
  </si>
  <si>
    <t>N428-7PH2-DSGR</t>
  </si>
  <si>
    <t>CCFI-10MP-D9AP</t>
  </si>
  <si>
    <t>YEM4-C835-XG5N</t>
  </si>
  <si>
    <t>83N0-PWRD-QAKU</t>
  </si>
  <si>
    <t>C11E-AXS9-DA9X</t>
  </si>
  <si>
    <t>ZHZ4-JFJ8-KN8F</t>
  </si>
  <si>
    <t>AZMV-8BP6-O9ER</t>
  </si>
  <si>
    <t>2A0D-5L0X-L0GZ</t>
  </si>
  <si>
    <t>3FGL-4D6V-BMXR</t>
  </si>
  <si>
    <t>0TX3-5N99-8W97</t>
  </si>
  <si>
    <t>ISV3-95N4-UCF1</t>
  </si>
  <si>
    <t>8NL4-GXW9-M8SE</t>
  </si>
  <si>
    <t>SZFQ-ZG06-YNX8</t>
  </si>
  <si>
    <t>ZUHF-ZE9M-33DM</t>
  </si>
  <si>
    <t>EGTH-EWD5-59GW</t>
  </si>
  <si>
    <t>FPVO-M897-BGIA</t>
  </si>
  <si>
    <t>AY2X-8IAV-5LCI</t>
  </si>
  <si>
    <t>ZJZ7-MJ2W-9EF9</t>
  </si>
  <si>
    <t>VTR5-1YDN-C70P</t>
  </si>
  <si>
    <t>15E2-SPPB-752A</t>
  </si>
  <si>
    <t>4P2W-RZ69-LE1Y</t>
  </si>
  <si>
    <t>PBW9-IXV7-7O4V</t>
  </si>
  <si>
    <t>UUFM-S9TS-M1PZ</t>
  </si>
  <si>
    <t>GZGT-F4O5-08HR</t>
  </si>
  <si>
    <t>I8Q6-M26M-85KV</t>
  </si>
  <si>
    <t>G8Q0-FQ65-9SEC</t>
  </si>
  <si>
    <t>GUI6-M4ID-AD9I</t>
  </si>
  <si>
    <t>2QCN-ON11-2PD5</t>
  </si>
  <si>
    <t>DJRB-6HLW-9M95</t>
  </si>
  <si>
    <t>I1AX-XM8C-REWD</t>
  </si>
  <si>
    <t>RGM4-OODY-QPEF</t>
  </si>
  <si>
    <t>RRFF-K4ZM-8E5E</t>
  </si>
  <si>
    <t>YIL6-VRG2-GCYG</t>
  </si>
  <si>
    <t>T52R-OGAK-VZLS</t>
  </si>
  <si>
    <t>ZEDT-BNN3-A3NG</t>
  </si>
  <si>
    <t>LQL2-DWTK-YQV9</t>
  </si>
  <si>
    <t>10TB-71N1-V1S5</t>
  </si>
  <si>
    <t>79C0-4Y7L-KFQ7</t>
  </si>
  <si>
    <t>ZXXG-7Z45-QNJX</t>
  </si>
  <si>
    <t>MUX3-E3XT-Y9E5</t>
  </si>
  <si>
    <t>FCQL-DXGX-ABWN</t>
  </si>
  <si>
    <t>DFGS-XLHV-6VFC</t>
  </si>
  <si>
    <t>UY4R-2CPC-8DGJ</t>
  </si>
  <si>
    <t>GCZU-QFZ3-K7TL</t>
  </si>
  <si>
    <t>YPF5-0NBY-ZM0J</t>
  </si>
  <si>
    <t>GCXG-J1VL-NUEW</t>
  </si>
  <si>
    <t>47JO-P2V1-1VZ7</t>
  </si>
  <si>
    <t>QU9K-QFRT-SJLL</t>
  </si>
  <si>
    <t>5VOA-B2DU-MVE6</t>
  </si>
  <si>
    <t>NVXQ-J7XP-IZQG</t>
  </si>
  <si>
    <t>UMQ4-BJW7-2T88</t>
  </si>
  <si>
    <t>RV66-CJU1-NIP3</t>
  </si>
  <si>
    <t>HDD3-RVU6-DBX2</t>
  </si>
  <si>
    <t>NOOO-YEWE-RJEW</t>
  </si>
  <si>
    <t>UU9W-H0DV-AJ6B</t>
  </si>
  <si>
    <t>ZC9A-DJLY-Y19A</t>
  </si>
  <si>
    <t>GW80-DMEM-90CV</t>
  </si>
  <si>
    <t>TJ5D-N8UF-6P6T</t>
  </si>
  <si>
    <t>Z1BZ-8XYQ-17HV</t>
  </si>
  <si>
    <t>KVKN-OG5X-6K0U</t>
  </si>
  <si>
    <t>ALVZ-4K55-GX4Y</t>
  </si>
  <si>
    <t>ZU8E-FR3V-MQM5</t>
  </si>
  <si>
    <t>HQ9C-91UX-QE27</t>
  </si>
  <si>
    <t>R9B0-MYWY-YR1D</t>
  </si>
  <si>
    <t>C3AB-6YVS-2RCH</t>
  </si>
  <si>
    <t>UYUG-2XVJ-MP1J</t>
  </si>
  <si>
    <t>6YN9-UHT0-I58L</t>
  </si>
  <si>
    <t>PKQO-CLGF-579X</t>
  </si>
  <si>
    <t>CN9T-SZ35-9ARR</t>
  </si>
  <si>
    <t>8T4Y-EKQE-BA67</t>
  </si>
  <si>
    <t>NQEN-4FCT-O14L</t>
  </si>
  <si>
    <t>ZSXE-I6N6-T6TK</t>
  </si>
  <si>
    <t>5K0X-NJG1-D4J6</t>
  </si>
  <si>
    <t>KHAY-9MPH-80FD</t>
  </si>
  <si>
    <t>OFKE-QDAT-AW6R</t>
  </si>
  <si>
    <t>U2MJ-F1ZT-ADIO</t>
  </si>
  <si>
    <t>K3LI-EEYR-4D2N</t>
  </si>
  <si>
    <t>JZKL-RLHC-5LP4</t>
  </si>
  <si>
    <t>UWPZ-LVWI-4PFQ</t>
  </si>
  <si>
    <t>P43L-XCY0-J1RH</t>
  </si>
  <si>
    <t>N10E-I8YG-1SA1</t>
  </si>
  <si>
    <t>YIQ2-QJIL-30PL</t>
  </si>
  <si>
    <t>1ZNI-XHU0-1FVA</t>
  </si>
  <si>
    <t>U76O-CPVG-LJOX</t>
  </si>
  <si>
    <t>H7LU-4KRC-J21U</t>
  </si>
  <si>
    <t>WSHB-T311-XBQQ</t>
  </si>
  <si>
    <t>MPC</t>
  </si>
  <si>
    <t>Match Play Categories</t>
  </si>
  <si>
    <t>Match Play Kategorien</t>
  </si>
  <si>
    <t>Match Play kategorie</t>
  </si>
  <si>
    <t>Match Play Kategorije</t>
  </si>
  <si>
    <t>All Categories</t>
  </si>
  <si>
    <t>Sve kategorije</t>
  </si>
  <si>
    <t>Alle Kategorien</t>
  </si>
  <si>
    <t>Všechny kategorie</t>
  </si>
  <si>
    <t>All</t>
  </si>
  <si>
    <t>MW</t>
  </si>
  <si>
    <t>Abs</t>
  </si>
  <si>
    <t>Men/Women</t>
  </si>
  <si>
    <t>Muški/Žene</t>
  </si>
  <si>
    <t>Muži/Ženy</t>
  </si>
  <si>
    <t>Herren/Dammen</t>
  </si>
  <si>
    <t>Absolute</t>
  </si>
  <si>
    <t>Apsolutna</t>
  </si>
  <si>
    <t>Absolut</t>
  </si>
  <si>
    <t>Absolutní</t>
  </si>
  <si>
    <t>CatMP</t>
  </si>
  <si>
    <t>Gen</t>
  </si>
  <si>
    <t>Gender</t>
  </si>
  <si>
    <t>Spol</t>
  </si>
  <si>
    <t>Rod</t>
  </si>
  <si>
    <t>Gesch.</t>
  </si>
  <si>
    <t>Ranking
MW</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</si>
  <si>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</si>
  <si>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</si>
  <si>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</si>
  <si>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</si>
  <si>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</si>
  <si>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</si>
  <si>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</si>
  <si>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</si>
  <si>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</si>
  <si>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</si>
  <si>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</si>
  <si>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</si>
  <si>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</si>
  <si>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</si>
  <si>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</si>
  <si>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</si>
  <si>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</si>
  <si>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</si>
  <si>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</si>
  <si>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</si>
  <si>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</si>
  <si>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</si>
  <si>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</si>
  <si>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</si>
  <si>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</si>
  <si>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</si>
  <si>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</si>
  <si>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</si>
  <si>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</si>
  <si>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E38</t>
  </si>
  <si>
    <t>E39</t>
  </si>
  <si>
    <t>E40</t>
  </si>
  <si>
    <t>E41</t>
  </si>
  <si>
    <t>E42</t>
  </si>
  <si>
    <t>E43</t>
  </si>
  <si>
    <t>E44</t>
  </si>
  <si>
    <t>E45</t>
  </si>
  <si>
    <t>E46</t>
  </si>
  <si>
    <t>E47</t>
  </si>
  <si>
    <t>E48</t>
  </si>
  <si>
    <t>E49</t>
  </si>
  <si>
    <t>E50</t>
  </si>
  <si>
    <t>E51</t>
  </si>
  <si>
    <t>E52</t>
  </si>
  <si>
    <t>E53</t>
  </si>
  <si>
    <t>E54</t>
  </si>
  <si>
    <t>E55</t>
  </si>
  <si>
    <t>E56</t>
  </si>
  <si>
    <t>E57</t>
  </si>
  <si>
    <t>E58</t>
  </si>
  <si>
    <t>E59</t>
  </si>
  <si>
    <t>E60</t>
  </si>
  <si>
    <t>E61</t>
  </si>
  <si>
    <t>E62</t>
  </si>
  <si>
    <t>E63</t>
  </si>
  <si>
    <t>E64</t>
  </si>
  <si>
    <t>E65</t>
  </si>
  <si>
    <t>E66</t>
  </si>
  <si>
    <t>E67</t>
  </si>
  <si>
    <t>E68</t>
  </si>
  <si>
    <t>E69</t>
  </si>
  <si>
    <t>E70</t>
  </si>
  <si>
    <t>E71</t>
  </si>
  <si>
    <t>E72</t>
  </si>
  <si>
    <t>E73</t>
  </si>
  <si>
    <t>E74</t>
  </si>
  <si>
    <t>E75</t>
  </si>
  <si>
    <t>E76</t>
  </si>
  <si>
    <t>E77</t>
  </si>
  <si>
    <t>E78</t>
  </si>
  <si>
    <t>E79</t>
  </si>
  <si>
    <t>E80</t>
  </si>
  <si>
    <t>E81</t>
  </si>
  <si>
    <t>E82</t>
  </si>
  <si>
    <t>E83</t>
  </si>
  <si>
    <t>E84</t>
  </si>
  <si>
    <t>E85</t>
  </si>
  <si>
    <t>E86</t>
  </si>
  <si>
    <t>E87</t>
  </si>
  <si>
    <t>E88</t>
  </si>
  <si>
    <t>E89</t>
  </si>
  <si>
    <t>E90</t>
  </si>
  <si>
    <t>E91</t>
  </si>
  <si>
    <t>E92</t>
  </si>
  <si>
    <t>E93</t>
  </si>
  <si>
    <t>E94</t>
  </si>
  <si>
    <t>E95</t>
  </si>
  <si>
    <t>E96</t>
  </si>
  <si>
    <t>E97</t>
  </si>
  <si>
    <t>E98</t>
  </si>
  <si>
    <t>E99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</si>
  <si>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</si>
  <si>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</si>
  <si>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</si>
  <si>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</si>
  <si>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</si>
  <si>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</si>
  <si>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</si>
  <si>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</si>
  <si>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</si>
  <si>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</si>
  <si>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</si>
  <si>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</si>
  <si>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</si>
  <si>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</si>
  <si>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</si>
  <si>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</si>
  <si>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</si>
  <si>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</si>
  <si>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</si>
  <si>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</si>
  <si>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</si>
  <si>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</si>
  <si>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</si>
  <si>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</si>
  <si>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</si>
  <si>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</si>
  <si>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</si>
  <si>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</si>
  <si>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</si>
  <si>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</si>
  <si>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</si>
  <si>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</si>
  <si>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</si>
  <si>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</si>
  <si>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</si>
  <si>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</si>
  <si>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</si>
  <si>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</si>
  <si>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</si>
  <si>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</si>
  <si>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</si>
  <si>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</si>
  <si>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</si>
  <si>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</si>
  <si>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</si>
  <si>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</si>
  <si>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</si>
  <si>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</si>
  <si>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</si>
  <si>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</si>
  <si>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</si>
  <si>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</si>
  <si>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</si>
  <si>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</si>
  <si>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E154</t>
  </si>
  <si>
    <t>E155</t>
  </si>
  <si>
    <t>E156</t>
  </si>
  <si>
    <t>E157</t>
  </si>
  <si>
    <t>E158</t>
  </si>
  <si>
    <t>E159</t>
  </si>
  <si>
    <t>E160</t>
  </si>
  <si>
    <t>E161</t>
  </si>
  <si>
    <t>E162</t>
  </si>
  <si>
    <t>E163</t>
  </si>
  <si>
    <t>E164</t>
  </si>
  <si>
    <t>E165</t>
  </si>
  <si>
    <t>E166</t>
  </si>
  <si>
    <t>E167</t>
  </si>
  <si>
    <t>E168</t>
  </si>
  <si>
    <t>E169</t>
  </si>
  <si>
    <t>E170</t>
  </si>
  <si>
    <t>E171</t>
  </si>
  <si>
    <t>E172</t>
  </si>
  <si>
    <t>E173</t>
  </si>
  <si>
    <t>E174</t>
  </si>
  <si>
    <t>E175</t>
  </si>
  <si>
    <t>E176</t>
  </si>
  <si>
    <t>E177</t>
  </si>
  <si>
    <t>E178</t>
  </si>
  <si>
    <t>E179</t>
  </si>
  <si>
    <t>E180</t>
  </si>
  <si>
    <t>E181</t>
  </si>
  <si>
    <t>E182</t>
  </si>
  <si>
    <t>E183</t>
  </si>
  <si>
    <t>E184</t>
  </si>
  <si>
    <t>E185</t>
  </si>
  <si>
    <t>E186</t>
  </si>
  <si>
    <t>E187</t>
  </si>
  <si>
    <t>E188</t>
  </si>
  <si>
    <t>E189</t>
  </si>
  <si>
    <t>E190</t>
  </si>
  <si>
    <t>E191</t>
  </si>
  <si>
    <t>E192</t>
  </si>
  <si>
    <t>E193</t>
  </si>
  <si>
    <t>E194</t>
  </si>
  <si>
    <t>E195</t>
  </si>
  <si>
    <t>E196</t>
  </si>
  <si>
    <t>E197</t>
  </si>
  <si>
    <t>E198</t>
  </si>
  <si>
    <t>E199</t>
  </si>
  <si>
    <t>E200</t>
  </si>
  <si>
    <t>E201</t>
  </si>
  <si>
    <t>E202</t>
  </si>
  <si>
    <t>E203</t>
  </si>
  <si>
    <t>E204</t>
  </si>
  <si>
    <t>E205</t>
  </si>
  <si>
    <t>E206</t>
  </si>
  <si>
    <t>E207</t>
  </si>
  <si>
    <t>E208</t>
  </si>
  <si>
    <t>E209</t>
  </si>
  <si>
    <t>E210</t>
  </si>
  <si>
    <t>E211</t>
  </si>
  <si>
    <t>E212</t>
  </si>
  <si>
    <t>E213</t>
  </si>
  <si>
    <t>E214</t>
  </si>
  <si>
    <t>E215</t>
  </si>
  <si>
    <t>E216</t>
  </si>
  <si>
    <t>E217</t>
  </si>
  <si>
    <t>E218</t>
  </si>
  <si>
    <t>E219</t>
  </si>
  <si>
    <t>E220</t>
  </si>
  <si>
    <t>E221</t>
  </si>
  <si>
    <t>E222</t>
  </si>
  <si>
    <t>E223</t>
  </si>
  <si>
    <t>E224</t>
  </si>
  <si>
    <t>E225</t>
  </si>
  <si>
    <t>E226</t>
  </si>
  <si>
    <t>E227</t>
  </si>
  <si>
    <t>E228</t>
  </si>
  <si>
    <t>E229</t>
  </si>
  <si>
    <t>E230</t>
  </si>
  <si>
    <t>A1</t>
  </si>
  <si>
    <t>A16</t>
  </si>
  <si>
    <t>A8</t>
  </si>
  <si>
    <t>A4</t>
  </si>
  <si>
    <t>A13</t>
  </si>
  <si>
    <t>A5</t>
  </si>
  <si>
    <t>A2</t>
  </si>
  <si>
    <t>A15</t>
  </si>
  <si>
    <t>A7</t>
  </si>
  <si>
    <t>A10</t>
  </si>
  <si>
    <t>A3</t>
  </si>
  <si>
    <t>A14</t>
  </si>
  <si>
    <t>A6</t>
  </si>
  <si>
    <t>A9</t>
  </si>
  <si>
    <t>A11</t>
  </si>
  <si>
    <t>A12</t>
  </si>
  <si>
    <t>IF(Data!AP6=2;'Start List'!$C$15:$V$139;'Start List'!$B$15:$V$139)</t>
  </si>
  <si>
    <t>Tabelle Einstellungen</t>
  </si>
  <si>
    <t>$BN$73</t>
  </si>
  <si>
    <t>$BN$79</t>
  </si>
  <si>
    <t>$BN$74</t>
  </si>
  <si>
    <t>$BN$75</t>
  </si>
  <si>
    <t>$BN$76</t>
  </si>
  <si>
    <t>$BN$77</t>
  </si>
  <si>
    <t>$BN$78</t>
  </si>
  <si>
    <t>$BN$80</t>
  </si>
  <si>
    <t>$BN$81</t>
  </si>
  <si>
    <t>$BN$82</t>
  </si>
  <si>
    <t>$BN$83</t>
  </si>
  <si>
    <t>$BN$84</t>
  </si>
  <si>
    <t>$BN$85</t>
  </si>
  <si>
    <t>$BN$86</t>
  </si>
  <si>
    <t>$BN$87</t>
  </si>
  <si>
    <t>$BN$88</t>
  </si>
  <si>
    <t>Developer notes:
Make sure you use compatible category abbreviations for selected language as otherwise errors on multiple sheets will appear.
If you are to use the same table for more competitions, it will show zeroes in result sheets. If you want to use the table for more than one competition, make sure to make a copy of it first.
If you don't have certain categories at your competition, some scoresheets for the match play competitions will be redundant. To protect the environment, save some paper by only printing the pages you need.</t>
  </si>
  <si>
    <t>22.</t>
  </si>
  <si>
    <t>22. BOHEMIA CUP - CROSSBOW FIELD</t>
  </si>
  <si>
    <t>Otrokovice</t>
  </si>
  <si>
    <t>Nový Stadion, TJ Jiskra</t>
  </si>
  <si>
    <t>14.-16. August 2020</t>
  </si>
  <si>
    <t>Pereglin Domagoj</t>
  </si>
  <si>
    <t>Korbař Bohumil</t>
  </si>
  <si>
    <t>CZE - Plumlov</t>
  </si>
  <si>
    <t xml:space="preserve">Tijan Željko </t>
  </si>
  <si>
    <t>Sváb Sándor</t>
  </si>
  <si>
    <t>HUN - Hungarian Shooting Federation</t>
  </si>
  <si>
    <t>Kubesová Sabina</t>
  </si>
  <si>
    <t>CZE - Suché Lazce</t>
  </si>
  <si>
    <t>Hynková Irena</t>
  </si>
  <si>
    <t>CZE - Savana</t>
  </si>
  <si>
    <t>Pereglin Valentina</t>
  </si>
  <si>
    <t>Hynková Karolína</t>
  </si>
  <si>
    <t>Bihariné Gábriel Emese</t>
  </si>
  <si>
    <t>Oborovečki Martin</t>
  </si>
  <si>
    <t>Andrés Lukáš</t>
  </si>
  <si>
    <t>Iva Popović-Gecan</t>
  </si>
  <si>
    <t>Petar Blagec</t>
  </si>
  <si>
    <t>Mikeštík Martin</t>
  </si>
  <si>
    <t>CZE - Otrokovice</t>
  </si>
  <si>
    <t>Petra Petak</t>
  </si>
  <si>
    <t>Vyskočil Denis</t>
  </si>
  <si>
    <t>CZE - Falcon Crossbow Plumlov</t>
  </si>
  <si>
    <t>Karla Bartolović</t>
  </si>
  <si>
    <t>Štěpán Špaček</t>
  </si>
  <si>
    <t>Stela Čuk</t>
  </si>
  <si>
    <t>Penezić Ema</t>
  </si>
  <si>
    <t>CRO - Predionica</t>
  </si>
  <si>
    <t>Kratochvíla Pavel</t>
  </si>
  <si>
    <t>Fran Županić</t>
  </si>
  <si>
    <t>Nedělník Josef</t>
  </si>
  <si>
    <t>Mátrai István</t>
  </si>
  <si>
    <t>Baborák František</t>
  </si>
  <si>
    <t>Losert Václav</t>
  </si>
  <si>
    <t>CZE - TJ Opava</t>
  </si>
  <si>
    <t>Sedláček František</t>
  </si>
  <si>
    <t>Palotai Gyula</t>
  </si>
  <si>
    <t>Dr. Lénárt Ágota</t>
  </si>
  <si>
    <t>Nedělníková Jaroslava</t>
  </si>
  <si>
    <t>Kocsis Mária</t>
  </si>
  <si>
    <t>Oborovečki Mihaela</t>
  </si>
  <si>
    <t>CROATIA 1</t>
  </si>
  <si>
    <t>CROATIA 2</t>
  </si>
  <si>
    <t>CZE 1</t>
  </si>
  <si>
    <t>CZE 2</t>
  </si>
  <si>
    <t>CZE 3</t>
  </si>
  <si>
    <t>HUN 1</t>
  </si>
  <si>
    <t>HUN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</si>
</sst>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47" x14ac:knownFonts="1">
    <font>
      <sz val="10"/>
      <name val="Arial"/>
      <charset val="238"/>
    </font>
    <font>
      <sz val="11"/>
      <color theme="1"/>
      <name val="Calibri"/>
      <family val="2"/>
      <charset val="238"/>
      <scheme val="minor"/>
    </font>
    <font>
      <sz val="9"/>
      <name val="Arial"/>
      <family val="2"/>
      <charset val="238"/>
    </font>
    <font>
      <b/>
      <sz val="10"/>
      <name val="Arial"/>
      <family val="2"/>
      <charset val="238"/>
    </font>
    <font>
      <sz val="10"/>
      <name val="Arial"/>
      <family val="2"/>
    </font>
    <font>
      <sz val="9"/>
      <name val="Arial"/>
      <family val="2"/>
    </font>
    <font>
      <b/>
      <i/>
      <sz val="9"/>
      <name val="Arial"/>
      <family val="2"/>
    </font>
    <font>
      <i/>
      <sz val="9"/>
      <name val="Arial"/>
      <family val="2"/>
    </font>
    <font>
      <b/>
      <sz val="12"/>
      <name val="Arial"/>
      <family val="2"/>
      <charset val="238"/>
    </font>
    <font>
      <sz val="10"/>
      <name val="Arial"/>
      <family val="2"/>
      <charset val="238"/>
    </font>
    <font>
      <sz val="10"/>
      <name val="Arial"/>
      <family val="2"/>
      <charset val="238"/>
    </font>
    <font>
      <b/>
      <sz val="10"/>
      <name val="Arial"/>
      <family val="2"/>
    </font>
    <font>
      <b/>
      <i/>
      <sz val="10"/>
      <name val="Arial"/>
      <family val="2"/>
      <charset val="238"/>
    </font>
    <font>
      <b/>
      <sz val="9"/>
      <name val="Arial"/>
      <family val="2"/>
      <charset val="238"/>
    </font>
    <font>
      <b/>
      <sz val="10"/>
      <color theme="0"/>
      <name val="Arial"/>
      <family val="2"/>
      <charset val="238"/>
    </font>
    <font>
      <b/>
      <sz val="11"/>
      <name val="Arial"/>
      <family val="2"/>
      <charset val="238"/>
    </font>
    <font>
      <i/>
      <sz val="10"/>
      <name val="Arial"/>
      <family val="2"/>
      <charset val="238"/>
    </font>
    <font>
      <b/>
      <i/>
      <sz val="9"/>
      <name val="Arial"/>
      <family val="2"/>
      <charset val="238"/>
    </font>
    <font>
      <sz val="10"/>
      <color theme="0"/>
      <name val="Arial"/>
      <family val="2"/>
    </font>
    <font>
      <sz val="9"/>
      <color theme="0"/>
      <name val="Arial"/>
      <family val="2"/>
      <charset val="238"/>
    </font>
    <font>
      <b/>
      <sz val="9"/>
      <color theme="0"/>
      <name val="Arial"/>
      <family val="2"/>
      <charset val="238"/>
    </font>
    <font>
      <sz val="11"/>
      <color theme="1"/>
      <name val="Calibri"/>
      <family val="2"/>
      <scheme val="minor"/>
    </font>
    <font>
      <sz val="11"/>
      <name val="Arial"/>
      <family val="2"/>
      <charset val="238"/>
    </font>
    <font>
      <b/>
      <sz val="9"/>
      <color theme="0"/>
      <name val="Arial"/>
      <family val="2"/>
    </font>
    <font>
      <b/>
      <i/>
      <sz val="10"/>
      <color theme="0"/>
      <name val="Arial"/>
      <family val="2"/>
    </font>
    <font>
      <i/>
      <sz val="10"/>
      <color theme="0"/>
      <name val="Arial"/>
      <family val="2"/>
    </font>
    <font>
      <sz val="14"/>
      <name val="Arial"/>
      <family val="2"/>
    </font>
    <font>
      <b/>
      <sz val="10"/>
      <color rgb="FFFF0000"/>
      <name val="Arial"/>
      <family val="2"/>
    </font>
    <font>
      <sz val="10"/>
      <color rgb="FFFF0000"/>
      <name val="Arial"/>
      <family val="2"/>
    </font>
    <font>
      <i/>
      <sz val="10"/>
      <name val="Arial"/>
      <family val="2"/>
    </font>
    <font>
      <i/>
      <sz val="9"/>
      <color theme="0"/>
      <name val="Arial"/>
      <family val="2"/>
    </font>
    <font>
      <b/>
      <sz val="8"/>
      <color rgb="FFFF0000"/>
      <name val="Arial"/>
      <family val="2"/>
    </font>
    <font>
      <b/>
      <sz val="12"/>
      <name val="Arial"/>
      <family val="2"/>
    </font>
    <font>
      <b/>
      <i/>
      <sz val="8"/>
      <name val="Arial"/>
      <family val="2"/>
    </font>
    <font>
      <b/>
      <sz val="48"/>
      <color theme="0" tint="-0.249977111117893"/>
      <name val="Arial"/>
      <family val="2"/>
    </font>
    <font>
      <b/>
      <sz val="9"/>
      <name val="Arial"/>
      <family val="2"/>
    </font>
    <font>
      <b/>
      <i/>
      <sz val="9"/>
      <color indexed="9"/>
      <name val="Arial"/>
      <family val="2"/>
      <charset val="238"/>
    </font>
    <font>
      <sz val="9"/>
      <color indexed="9"/>
      <name val="Arial"/>
      <family val="2"/>
    </font>
    <font>
      <sz val="9"/>
      <color theme="0" tint="-0.14999847407452621"/>
      <name val="Arial"/>
      <family val="2"/>
    </font>
    <font>
      <sz val="10"/>
      <color rgb="FFFFC000"/>
      <name val="Arial"/>
      <family val="2"/>
      <charset val="238"/>
    </font>
    <font>
      <sz val="10"/>
      <color rgb="FF222222"/>
      <name val="Arial"/>
      <family val="2"/>
    </font>
    <font>
      <sz val="10"/>
      <name val="Symbol"/>
      <family val="1"/>
      <charset val="2"/>
    </font>
    <font>
      <i/>
      <sz val="1"/>
      <color theme="0"/>
      <name val="Arial"/>
      <family val="2"/>
    </font>
    <font>
      <sz val="1"/>
      <color theme="0"/>
      <name val="Arial"/>
      <family val="2"/>
      <charset val="238"/>
    </font>
    <font>
      <i/>
      <sz val="9"/>
      <name val="Arial"/>
      <family val="2"/>
      <charset val="238"/>
    </font>
    <font>
      <b/>
      <i/>
      <sz val="9"/>
      <color theme="0"/>
      <name val="Arial"/>
      <family val="2"/>
      <charset val="238"/>
    </font>
    <font>
      <b/>
      <sz val="10"/>
      <color theme="0"/>
      <name val="Arial"/>
      <family val="2"/>
    </font>
  </fonts>
  <fills count="30">
    <fill>
      <patternFill patternType="none"/>
    </fill>
    <fill>
      <patternFill patternType="gray125"/>
    </fill>
    <fill>
      <gradientFill degree="90">
        <stop position="0">
          <color rgb="FFFFFF00"/>
        </stop>
        <stop position="1">
          <color rgb="FFFFC000"/>
        </stop>
      </gradientFill>
    </fill>
    <fill>
      <patternFill patternType="solid">
        <fgColor theme="0" tint="-0.34998626667073579"/>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1"/>
        <bgColor indexed="64"/>
      </patternFill>
    </fill>
    <fill>
      <patternFill patternType="solid">
        <fgColor theme="7"/>
        <bgColor indexed="64"/>
      </patternFill>
    </fill>
    <fill>
      <patternFill patternType="solid">
        <fgColor theme="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7030A0"/>
        <bgColor indexed="64"/>
      </patternFill>
    </fill>
    <fill>
      <gradientFill degree="90">
        <stop position="0">
          <color rgb="FFFFFF00"/>
        </stop>
        <stop position="0.5">
          <color rgb="FFFFCC00"/>
        </stop>
        <stop position="1">
          <color rgb="FFFFFF00"/>
        </stop>
      </gradientFill>
    </fill>
    <fill>
      <gradientFill degree="90">
        <stop position="0">
          <color theme="0" tint="-0.34900967436750391"/>
        </stop>
        <stop position="0.5">
          <color theme="0" tint="-0.1490218817712943"/>
        </stop>
        <stop position="1">
          <color theme="0" tint="-0.34900967436750391"/>
        </stop>
      </gradientFill>
    </fill>
    <fill>
      <gradientFill degree="90">
        <stop position="0">
          <color rgb="FFA65E06"/>
        </stop>
        <stop position="0.5">
          <color theme="9" tint="-0.25098422193060094"/>
        </stop>
        <stop position="1">
          <color rgb="FFA65E06"/>
        </stop>
      </gradientFill>
    </fill>
    <fill>
      <patternFill patternType="solid">
        <fgColor rgb="FFFF0000"/>
        <bgColor indexed="64"/>
      </patternFill>
    </fill>
    <fill>
      <gradientFill degree="90">
        <stop position="0">
          <color theme="0" tint="-0.25098422193060094"/>
        </stop>
        <stop position="0.5">
          <color theme="1" tint="0.49803155613879818"/>
        </stop>
        <stop position="1">
          <color theme="0" tint="-0.25098422193060094"/>
        </stop>
      </gradient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s>
  <cellStyleXfs count="6">
    <xf numFmtId="0" fontId="0" fillId="0" borderId="0"/>
    <xf numFmtId="0" fontId="10" fillId="0" borderId="0"/>
    <xf numFmtId="0" fontId="3" fillId="2" borderId="20">
      <alignment horizontal="center" vertical="center"/>
    </xf>
    <xf numFmtId="0" fontId="9" fillId="0" borderId="0"/>
    <xf numFmtId="0" fontId="1" fillId="0" borderId="0"/>
    <xf numFmtId="0" fontId="21" fillId="0" borderId="0"/>
  </cellStyleXfs>
  <cellXfs count="304">
    <xf numFmtId="0" fontId="0" fillId="0" borderId="0" xfId="0"/>
    <xf numFmtId="0" fontId="2" fillId="0" borderId="0" xfId="0" applyFont="1" applyAlignment="1">
      <alignment vertical="center"/>
    </xf>
    <xf numFmtId="0" fontId="5" fillId="0" borderId="0" xfId="0" applyFont="1" applyBorder="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2" fillId="0" borderId="0" xfId="0"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13" fillId="0" borderId="0" xfId="0" applyFont="1" applyBorder="1" applyAlignment="1">
      <alignment horizontal="center" vertical="center"/>
    </xf>
    <xf numFmtId="0" fontId="0" fillId="0" borderId="17" xfId="0" applyBorder="1" applyAlignment="1">
      <alignment vertical="center"/>
    </xf>
    <xf numFmtId="0" fontId="0" fillId="0" borderId="16"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8" fillId="0" borderId="13" xfId="0" applyFont="1" applyBorder="1" applyAlignment="1">
      <alignment horizontal="center" vertical="center"/>
    </xf>
    <xf numFmtId="0" fontId="2" fillId="0" borderId="13" xfId="0" applyFont="1" applyBorder="1" applyAlignment="1">
      <alignment vertical="center"/>
    </xf>
    <xf numFmtId="0" fontId="8" fillId="0" borderId="11" xfId="0" applyFont="1" applyBorder="1" applyAlignment="1">
      <alignment horizontal="center" vertical="center"/>
    </xf>
    <xf numFmtId="0" fontId="0" fillId="0" borderId="10" xfId="0" applyBorder="1" applyAlignment="1">
      <alignment vertical="center"/>
    </xf>
    <xf numFmtId="0" fontId="15" fillId="0" borderId="0" xfId="0" applyFont="1" applyAlignment="1">
      <alignment vertical="center"/>
    </xf>
    <xf numFmtId="0" fontId="0" fillId="0" borderId="0" xfId="0" applyFill="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 xfId="0" applyBorder="1" applyAlignment="1">
      <alignment vertical="center"/>
    </xf>
    <xf numFmtId="0" fontId="5" fillId="0" borderId="13" xfId="0" applyFont="1" applyBorder="1" applyAlignment="1">
      <alignment horizontal="center" vertical="center"/>
    </xf>
    <xf numFmtId="0" fontId="0" fillId="0" borderId="14" xfId="0" applyBorder="1" applyAlignment="1">
      <alignment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14" fillId="0" borderId="18" xfId="0" applyFont="1" applyFill="1" applyBorder="1" applyAlignment="1">
      <alignment vertical="center"/>
    </xf>
    <xf numFmtId="0" fontId="14" fillId="0" borderId="0" xfId="0" applyFont="1" applyFill="1" applyBorder="1" applyAlignment="1">
      <alignment vertical="center"/>
    </xf>
    <xf numFmtId="0" fontId="0" fillId="0" borderId="0" xfId="0" applyBorder="1" applyAlignment="1">
      <alignment horizontal="center" vertical="center"/>
    </xf>
    <xf numFmtId="0" fontId="0" fillId="0" borderId="0" xfId="0" applyAlignment="1">
      <alignment horizontal="center"/>
    </xf>
    <xf numFmtId="0" fontId="0" fillId="0" borderId="0" xfId="0" applyBorder="1" applyAlignment="1">
      <alignment horizontal="center" vertical="center"/>
    </xf>
    <xf numFmtId="0" fontId="26" fillId="15" borderId="28" xfId="0" applyFont="1" applyFill="1" applyBorder="1" applyProtection="1">
      <protection locked="0"/>
    </xf>
    <xf numFmtId="0" fontId="26" fillId="16" borderId="30" xfId="0" applyFont="1" applyFill="1" applyBorder="1" applyProtection="1">
      <protection locked="0"/>
    </xf>
    <xf numFmtId="0" fontId="26" fillId="15" borderId="30" xfId="0" applyFont="1" applyFill="1" applyBorder="1" applyProtection="1">
      <protection locked="0"/>
    </xf>
    <xf numFmtId="0" fontId="4" fillId="0" borderId="0" xfId="0" applyFont="1" applyAlignment="1">
      <alignment horizontal="center"/>
    </xf>
    <xf numFmtId="0" fontId="0" fillId="0" borderId="0" xfId="0" applyAlignment="1">
      <alignment horizontal="center" wrapText="1"/>
    </xf>
    <xf numFmtId="0" fontId="26" fillId="0" borderId="0" xfId="0" applyFont="1" applyProtection="1">
      <protection hidden="1"/>
    </xf>
    <xf numFmtId="0" fontId="26" fillId="15" borderId="26" xfId="0" applyFont="1" applyFill="1" applyBorder="1" applyProtection="1">
      <protection hidden="1"/>
    </xf>
    <xf numFmtId="0" fontId="26" fillId="16" borderId="29" xfId="0" applyFont="1" applyFill="1" applyBorder="1" applyProtection="1">
      <protection hidden="1"/>
    </xf>
    <xf numFmtId="0" fontId="26" fillId="15" borderId="29" xfId="0" applyFont="1" applyFill="1" applyBorder="1" applyProtection="1">
      <protection hidden="1"/>
    </xf>
    <xf numFmtId="0" fontId="26" fillId="0" borderId="0" xfId="0" applyFont="1" applyAlignment="1" applyProtection="1">
      <alignment wrapText="1"/>
      <protection hidden="1"/>
    </xf>
    <xf numFmtId="0" fontId="4" fillId="6" borderId="0" xfId="0" applyFont="1" applyFill="1" applyProtection="1">
      <protection hidden="1"/>
    </xf>
    <xf numFmtId="0" fontId="9" fillId="8" borderId="0" xfId="0" applyFont="1" applyFill="1" applyAlignment="1" applyProtection="1">
      <alignment horizontal="center"/>
      <protection hidden="1"/>
    </xf>
    <xf numFmtId="0" fontId="9" fillId="8" borderId="25" xfId="0" applyFont="1" applyFill="1" applyBorder="1" applyAlignment="1" applyProtection="1">
      <alignment horizontal="center"/>
      <protection hidden="1"/>
    </xf>
    <xf numFmtId="0" fontId="9" fillId="8" borderId="0" xfId="0" applyFont="1" applyFill="1" applyBorder="1" applyAlignment="1" applyProtection="1">
      <alignment horizontal="center"/>
      <protection hidden="1"/>
    </xf>
    <xf numFmtId="0" fontId="18" fillId="11" borderId="0" xfId="0" applyFont="1" applyFill="1" applyAlignment="1" applyProtection="1">
      <alignment horizontal="center"/>
      <protection hidden="1"/>
    </xf>
    <xf numFmtId="0" fontId="4" fillId="21" borderId="0" xfId="0" applyFont="1" applyFill="1" applyAlignment="1" applyProtection="1">
      <alignment horizontal="center"/>
      <protection hidden="1"/>
    </xf>
    <xf numFmtId="0" fontId="9" fillId="20" borderId="0" xfId="0" applyFont="1" applyFill="1" applyAlignment="1" applyProtection="1">
      <alignment horizontal="center"/>
      <protection hidden="1"/>
    </xf>
    <xf numFmtId="0" fontId="9" fillId="18" borderId="0" xfId="0" applyFont="1" applyFill="1" applyAlignment="1" applyProtection="1">
      <alignment horizontal="center"/>
      <protection hidden="1"/>
    </xf>
    <xf numFmtId="0" fontId="4" fillId="0" borderId="0" xfId="0" applyFont="1" applyProtection="1">
      <protection hidden="1"/>
    </xf>
    <xf numFmtId="0" fontId="3" fillId="0" borderId="0" xfId="0" applyFont="1" applyBorder="1" applyAlignment="1" applyProtection="1">
      <alignment horizontal="center" vertical="center"/>
      <protection hidden="1"/>
    </xf>
    <xf numFmtId="0" fontId="4" fillId="0" borderId="0" xfId="0" applyFont="1" applyAlignment="1" applyProtection="1">
      <alignment horizontal="center"/>
      <protection hidden="1"/>
    </xf>
    <xf numFmtId="0" fontId="32" fillId="0" borderId="0" xfId="0" applyFont="1" applyAlignment="1" applyProtection="1">
      <alignment horizontal="center"/>
      <protection hidden="1"/>
    </xf>
    <xf numFmtId="0" fontId="31" fillId="0" borderId="0" xfId="0" applyFont="1" applyBorder="1" applyAlignment="1" applyProtection="1">
      <alignment vertical="top" wrapText="1"/>
      <protection hidden="1"/>
    </xf>
    <xf numFmtId="0" fontId="8" fillId="0" borderId="0" xfId="0" applyFont="1" applyProtection="1">
      <protection hidden="1"/>
    </xf>
    <xf numFmtId="0" fontId="2" fillId="0"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2" fillId="0" borderId="0" xfId="0" applyFont="1" applyAlignment="1" applyProtection="1">
      <alignment vertical="center"/>
      <protection hidden="1"/>
    </xf>
    <xf numFmtId="0" fontId="7" fillId="0" borderId="0" xfId="0" applyNumberFormat="1"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22" fontId="11" fillId="0" borderId="2" xfId="0" applyNumberFormat="1" applyFont="1" applyBorder="1" applyAlignment="1" applyProtection="1">
      <alignment vertical="center"/>
      <protection hidden="1"/>
    </xf>
    <xf numFmtId="0" fontId="19" fillId="0" borderId="0" xfId="0" applyFont="1" applyFill="1" applyAlignment="1" applyProtection="1">
      <alignment vertical="center"/>
      <protection hidden="1"/>
    </xf>
    <xf numFmtId="0" fontId="20" fillId="0" borderId="0" xfId="0" applyFont="1" applyFill="1" applyBorder="1" applyAlignment="1" applyProtection="1">
      <alignment horizontal="center" vertical="center"/>
      <protection hidden="1"/>
    </xf>
    <xf numFmtId="0" fontId="19" fillId="0" borderId="0" xfId="0" applyFont="1" applyAlignment="1" applyProtection="1">
      <alignment vertical="center"/>
      <protection hidden="1"/>
    </xf>
    <xf numFmtId="0" fontId="20" fillId="0" borderId="0"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30" fillId="0" borderId="0" xfId="0" applyFont="1" applyAlignment="1" applyProtection="1">
      <alignment vertical="center"/>
      <protection hidden="1"/>
    </xf>
    <xf numFmtId="0" fontId="4" fillId="0" borderId="0" xfId="0" applyFont="1" applyFill="1" applyAlignment="1" applyProtection="1">
      <protection hidden="1"/>
    </xf>
    <xf numFmtId="0" fontId="12" fillId="0" borderId="0" xfId="0" applyFont="1" applyFill="1" applyBorder="1" applyAlignment="1" applyProtection="1">
      <alignment horizontal="center" vertical="center"/>
      <protection hidden="1"/>
    </xf>
    <xf numFmtId="0" fontId="0" fillId="0" borderId="0" xfId="0" applyFill="1" applyProtection="1">
      <protection hidden="1"/>
    </xf>
    <xf numFmtId="0" fontId="3" fillId="0" borderId="0" xfId="0" applyFont="1" applyFill="1" applyProtection="1">
      <protection hidden="1"/>
    </xf>
    <xf numFmtId="0" fontId="4" fillId="0" borderId="0" xfId="0" applyFont="1" applyAlignment="1" applyProtection="1">
      <protection hidden="1"/>
    </xf>
    <xf numFmtId="0" fontId="3"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0" fontId="9" fillId="0" borderId="0" xfId="0" applyFont="1" applyAlignment="1" applyProtection="1">
      <protection hidden="1"/>
    </xf>
    <xf numFmtId="0" fontId="9" fillId="0" borderId="0" xfId="0" applyFont="1" applyAlignment="1" applyProtection="1">
      <alignment vertical="center"/>
      <protection hidden="1"/>
    </xf>
    <xf numFmtId="0" fontId="4" fillId="0" borderId="0" xfId="0" applyFont="1" applyAlignment="1" applyProtection="1">
      <alignment vertical="center"/>
      <protection hidden="1"/>
    </xf>
    <xf numFmtId="0" fontId="2" fillId="0" borderId="0" xfId="0" applyFont="1" applyFill="1" applyAlignment="1" applyProtection="1">
      <alignment horizontal="center" vertical="center"/>
      <protection hidden="1"/>
    </xf>
    <xf numFmtId="0" fontId="2" fillId="0" borderId="0" xfId="0" applyNumberFormat="1" applyFont="1" applyFill="1" applyAlignment="1" applyProtection="1">
      <alignment horizontal="left" vertical="center"/>
      <protection hidden="1"/>
    </xf>
    <xf numFmtId="0" fontId="5" fillId="0" borderId="0" xfId="0" applyFont="1" applyFill="1" applyAlignment="1" applyProtection="1">
      <alignment horizontal="center" vertical="center"/>
      <protection hidden="1"/>
    </xf>
    <xf numFmtId="0" fontId="9" fillId="0" borderId="0" xfId="0" applyFont="1" applyProtection="1">
      <protection hidden="1"/>
    </xf>
    <xf numFmtId="0" fontId="34" fillId="0" borderId="0" xfId="0" applyFont="1" applyBorder="1" applyAlignment="1" applyProtection="1">
      <alignment vertical="center" wrapText="1"/>
      <protection hidden="1"/>
    </xf>
    <xf numFmtId="0" fontId="4" fillId="6" borderId="0" xfId="0" applyFont="1" applyFill="1" applyAlignment="1" applyProtection="1">
      <alignment horizontal="center"/>
      <protection hidden="1"/>
    </xf>
    <xf numFmtId="0" fontId="4" fillId="17" borderId="0" xfId="0" applyFont="1" applyFill="1" applyProtection="1">
      <protection hidden="1"/>
    </xf>
    <xf numFmtId="0" fontId="9" fillId="17" borderId="0" xfId="0" applyFont="1" applyFill="1" applyAlignment="1" applyProtection="1">
      <alignment horizontal="center"/>
      <protection hidden="1"/>
    </xf>
    <xf numFmtId="0" fontId="39" fillId="11" borderId="0" xfId="0" applyFont="1" applyFill="1" applyAlignment="1" applyProtection="1">
      <alignment horizontal="center"/>
      <protection hidden="1"/>
    </xf>
    <xf numFmtId="0" fontId="39" fillId="11" borderId="25" xfId="0" applyFont="1" applyFill="1" applyBorder="1" applyAlignment="1" applyProtection="1">
      <alignment horizontal="center"/>
      <protection hidden="1"/>
    </xf>
    <xf numFmtId="0" fontId="39" fillId="11" borderId="0" xfId="0" applyFont="1" applyFill="1" applyBorder="1" applyAlignment="1" applyProtection="1">
      <alignment horizontal="center"/>
      <protection hidden="1"/>
    </xf>
    <xf numFmtId="0" fontId="9" fillId="23" borderId="0" xfId="0" applyFont="1" applyFill="1" applyBorder="1" applyAlignment="1" applyProtection="1">
      <alignment horizontal="center"/>
      <protection hidden="1"/>
    </xf>
    <xf numFmtId="0" fontId="4" fillId="19" borderId="0" xfId="0" applyFont="1" applyFill="1" applyAlignment="1" applyProtection="1">
      <alignment horizontal="center"/>
      <protection hidden="1"/>
    </xf>
    <xf numFmtId="0" fontId="4" fillId="16" borderId="0" xfId="0" applyFont="1" applyFill="1" applyProtection="1">
      <protection hidden="1"/>
    </xf>
    <xf numFmtId="0" fontId="4" fillId="16" borderId="0" xfId="0" applyFont="1" applyFill="1" applyAlignment="1" applyProtection="1">
      <alignment horizontal="center"/>
      <protection hidden="1"/>
    </xf>
    <xf numFmtId="0" fontId="4" fillId="22" borderId="0" xfId="0" applyFont="1" applyFill="1" applyAlignment="1" applyProtection="1">
      <alignment horizontal="center"/>
      <protection hidden="1"/>
    </xf>
    <xf numFmtId="22" fontId="4" fillId="0" borderId="0" xfId="0" applyNumberFormat="1" applyFont="1" applyProtection="1">
      <protection hidden="1"/>
    </xf>
    <xf numFmtId="0" fontId="4" fillId="24" borderId="0" xfId="0" applyFont="1" applyFill="1" applyAlignment="1" applyProtection="1">
      <alignment horizontal="center"/>
      <protection hidden="1"/>
    </xf>
    <xf numFmtId="0" fontId="4" fillId="21" borderId="0" xfId="0" applyFont="1" applyFill="1" applyProtection="1">
      <protection hidden="1"/>
    </xf>
    <xf numFmtId="0" fontId="4" fillId="20" borderId="0" xfId="0" applyFont="1" applyFill="1" applyAlignment="1" applyProtection="1">
      <alignment horizontal="center"/>
      <protection hidden="1"/>
    </xf>
    <xf numFmtId="0" fontId="4" fillId="0" borderId="0" xfId="0" applyFont="1" applyAlignment="1" applyProtection="1">
      <alignment horizontal="left"/>
      <protection hidden="1"/>
    </xf>
    <xf numFmtId="0" fontId="4" fillId="7" borderId="0" xfId="0" applyFont="1" applyFill="1" applyAlignment="1" applyProtection="1">
      <alignment horizontal="center"/>
      <protection hidden="1"/>
    </xf>
    <xf numFmtId="0" fontId="4" fillId="7" borderId="25" xfId="0" applyFont="1" applyFill="1" applyBorder="1" applyAlignment="1" applyProtection="1">
      <alignment horizontal="center"/>
      <protection hidden="1"/>
    </xf>
    <xf numFmtId="0" fontId="4" fillId="7" borderId="0" xfId="0" applyFont="1" applyFill="1" applyBorder="1" applyAlignment="1" applyProtection="1">
      <alignment horizontal="center"/>
      <protection hidden="1"/>
    </xf>
    <xf numFmtId="0" fontId="4" fillId="18" borderId="0" xfId="0" applyFont="1" applyFill="1" applyAlignment="1" applyProtection="1">
      <alignment horizontal="center"/>
      <protection hidden="1"/>
    </xf>
    <xf numFmtId="0" fontId="4" fillId="10" borderId="0" xfId="0" applyFont="1" applyFill="1" applyAlignment="1" applyProtection="1">
      <alignment horizontal="center"/>
      <protection hidden="1"/>
    </xf>
    <xf numFmtId="0" fontId="4" fillId="10" borderId="25" xfId="0" applyFont="1" applyFill="1" applyBorder="1" applyAlignment="1" applyProtection="1">
      <alignment horizontal="center"/>
      <protection hidden="1"/>
    </xf>
    <xf numFmtId="0" fontId="4" fillId="10" borderId="0" xfId="0" applyFont="1" applyFill="1" applyBorder="1" applyAlignment="1" applyProtection="1">
      <alignment horizontal="center"/>
      <protection hidden="1"/>
    </xf>
    <xf numFmtId="0" fontId="4" fillId="0" borderId="0" xfId="0" applyFont="1" applyBorder="1" applyAlignment="1" applyProtection="1">
      <alignment horizontal="center" vertical="center"/>
      <protection hidden="1"/>
    </xf>
    <xf numFmtId="0" fontId="40" fillId="0" borderId="0" xfId="0" applyFont="1" applyAlignment="1" applyProtection="1">
      <alignment horizontal="center"/>
      <protection hidden="1"/>
    </xf>
    <xf numFmtId="0" fontId="9"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1" fillId="0" borderId="0" xfId="0" applyFont="1" applyFill="1" applyBorder="1" applyAlignment="1" applyProtection="1">
      <alignment vertical="center"/>
      <protection hidden="1"/>
    </xf>
    <xf numFmtId="0" fontId="4" fillId="0" borderId="0" xfId="0" applyFont="1" applyBorder="1" applyProtection="1">
      <protection hidden="1"/>
    </xf>
    <xf numFmtId="0" fontId="9" fillId="0" borderId="0" xfId="0" applyFont="1" applyBorder="1" applyAlignment="1" applyProtection="1">
      <alignment vertical="center"/>
      <protection hidden="1"/>
    </xf>
    <xf numFmtId="0" fontId="4" fillId="12" borderId="0" xfId="0" applyFont="1" applyFill="1" applyAlignment="1" applyProtection="1">
      <alignment horizontal="center"/>
      <protection hidden="1"/>
    </xf>
    <xf numFmtId="0" fontId="4" fillId="12" borderId="25" xfId="0" applyFont="1" applyFill="1" applyBorder="1" applyAlignment="1" applyProtection="1">
      <alignment horizontal="center"/>
      <protection hidden="1"/>
    </xf>
    <xf numFmtId="0" fontId="4" fillId="12" borderId="0" xfId="0" applyFont="1" applyFill="1" applyBorder="1" applyAlignment="1" applyProtection="1">
      <alignment horizontal="center"/>
      <protection hidden="1"/>
    </xf>
    <xf numFmtId="0" fontId="4" fillId="9" borderId="0" xfId="0" applyFont="1" applyFill="1" applyAlignment="1" applyProtection="1">
      <alignment horizontal="center"/>
      <protection hidden="1"/>
    </xf>
    <xf numFmtId="0" fontId="4" fillId="9" borderId="25" xfId="0" applyFont="1" applyFill="1" applyBorder="1" applyAlignment="1" applyProtection="1">
      <alignment horizontal="center"/>
      <protection hidden="1"/>
    </xf>
    <xf numFmtId="0" fontId="4" fillId="9" borderId="0" xfId="0" applyFont="1" applyFill="1" applyBorder="1" applyAlignment="1" applyProtection="1">
      <alignment horizontal="center"/>
      <protection hidden="1"/>
    </xf>
    <xf numFmtId="0" fontId="4" fillId="13" borderId="0" xfId="0" applyFont="1" applyFill="1" applyAlignment="1" applyProtection="1">
      <alignment horizontal="center"/>
      <protection hidden="1"/>
    </xf>
    <xf numFmtId="0" fontId="4" fillId="13" borderId="25" xfId="0" applyFont="1" applyFill="1" applyBorder="1" applyAlignment="1" applyProtection="1">
      <alignment horizontal="center"/>
      <protection hidden="1"/>
    </xf>
    <xf numFmtId="0" fontId="4" fillId="13" borderId="0" xfId="0" applyFont="1" applyFill="1" applyBorder="1" applyAlignment="1" applyProtection="1">
      <alignment horizontal="center"/>
      <protection hidden="1"/>
    </xf>
    <xf numFmtId="0" fontId="9" fillId="0" borderId="0" xfId="0" applyFont="1" applyAlignment="1" applyProtection="1">
      <alignment horizontal="center"/>
      <protection hidden="1"/>
    </xf>
    <xf numFmtId="0" fontId="4" fillId="0" borderId="25" xfId="0" applyFont="1" applyBorder="1" applyAlignment="1" applyProtection="1">
      <alignment horizontal="center"/>
      <protection hidden="1"/>
    </xf>
    <xf numFmtId="0" fontId="4" fillId="0" borderId="25" xfId="0" applyFont="1" applyBorder="1" applyProtection="1">
      <protection hidden="1"/>
    </xf>
    <xf numFmtId="0" fontId="4" fillId="0" borderId="0" xfId="0" applyFont="1"/>
    <xf numFmtId="0" fontId="3" fillId="0" borderId="0" xfId="0" applyFont="1" applyProtection="1">
      <protection hidden="1"/>
    </xf>
    <xf numFmtId="0" fontId="24" fillId="0" borderId="0" xfId="0" applyFont="1" applyBorder="1" applyAlignment="1" applyProtection="1">
      <alignment vertical="center"/>
      <protection hidden="1"/>
    </xf>
    <xf numFmtId="0" fontId="25" fillId="0" borderId="0" xfId="0" applyNumberFormat="1" applyFont="1" applyBorder="1" applyAlignment="1" applyProtection="1">
      <alignment horizontal="left" vertical="center"/>
      <protection hidden="1"/>
    </xf>
    <xf numFmtId="0" fontId="18" fillId="0" borderId="0"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7" fillId="0" borderId="0" xfId="0" applyFont="1" applyBorder="1" applyAlignment="1" applyProtection="1">
      <alignment horizontal="center" vertical="center"/>
      <protection hidden="1"/>
    </xf>
    <xf numFmtId="0" fontId="27" fillId="0" borderId="0" xfId="0" applyNumberFormat="1" applyFont="1" applyBorder="1" applyAlignment="1" applyProtection="1">
      <alignment horizontal="left" vertical="center"/>
      <protection hidden="1"/>
    </xf>
    <xf numFmtId="0" fontId="28" fillId="0" borderId="0" xfId="0" applyFont="1" applyAlignment="1" applyProtection="1">
      <alignment horizontal="center" vertical="center"/>
      <protection hidden="1"/>
    </xf>
    <xf numFmtId="0" fontId="28" fillId="0" borderId="0" xfId="0" applyFont="1" applyAlignment="1" applyProtection="1">
      <alignment vertical="center"/>
      <protection hidden="1"/>
    </xf>
    <xf numFmtId="0" fontId="11" fillId="0" borderId="0" xfId="0" applyFont="1" applyBorder="1" applyAlignment="1" applyProtection="1">
      <alignment horizontal="center" vertical="center"/>
      <protection hidden="1"/>
    </xf>
    <xf numFmtId="0" fontId="11" fillId="0" borderId="0" xfId="0" applyNumberFormat="1" applyFont="1" applyBorder="1" applyAlignment="1" applyProtection="1">
      <alignment horizontal="left" vertical="center"/>
      <protection hidden="1"/>
    </xf>
    <xf numFmtId="0" fontId="9" fillId="0" borderId="0" xfId="0" applyFont="1" applyAlignment="1" applyProtection="1">
      <alignment horizontal="center" vertical="center"/>
      <protection hidden="1"/>
    </xf>
    <xf numFmtId="0" fontId="9" fillId="14" borderId="0" xfId="0" applyFont="1" applyFill="1" applyAlignment="1" applyProtection="1">
      <alignment horizontal="center"/>
      <protection hidden="1"/>
    </xf>
    <xf numFmtId="0" fontId="9" fillId="14" borderId="0" xfId="0" applyFont="1" applyFill="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9" fillId="0" borderId="0" xfId="0" applyFont="1" applyFill="1" applyAlignment="1" applyProtection="1">
      <alignment horizontal="center"/>
      <protection hidden="1"/>
    </xf>
    <xf numFmtId="0" fontId="12" fillId="0" borderId="0" xfId="0" applyFont="1" applyBorder="1" applyAlignment="1" applyProtection="1">
      <alignment horizontal="center" vertical="center"/>
      <protection hidden="1"/>
    </xf>
    <xf numFmtId="0" fontId="0" fillId="0" borderId="0" xfId="0" applyBorder="1" applyProtection="1">
      <protection hidden="1"/>
    </xf>
    <xf numFmtId="0" fontId="3"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9" fillId="0" borderId="0" xfId="0" applyNumberFormat="1" applyFont="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6" fillId="0" borderId="0" xfId="0" applyFont="1" applyFill="1" applyAlignment="1" applyProtection="1">
      <alignment horizontal="center" vertical="center"/>
      <protection hidden="1"/>
    </xf>
    <xf numFmtId="0" fontId="9" fillId="0"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0" fontId="9" fillId="0" borderId="0" xfId="0" applyNumberFormat="1" applyFont="1" applyAlignment="1" applyProtection="1">
      <alignment horizontal="left" vertical="center"/>
      <protection hidden="1"/>
    </xf>
    <xf numFmtId="0" fontId="35" fillId="0" borderId="0" xfId="3" applyNumberFormat="1" applyFont="1" applyAlignment="1" applyProtection="1">
      <alignment horizontal="left"/>
      <protection locked="0" hidden="1"/>
    </xf>
    <xf numFmtId="0" fontId="2" fillId="0" borderId="0" xfId="3" applyNumberFormat="1" applyFont="1" applyBorder="1" applyAlignment="1" applyProtection="1">
      <alignment horizontal="left" vertical="center"/>
      <protection locked="0" hidden="1"/>
    </xf>
    <xf numFmtId="0" fontId="9" fillId="0" borderId="0" xfId="0" applyFont="1" applyAlignment="1">
      <alignment horizontal="center"/>
    </xf>
    <xf numFmtId="0" fontId="2" fillId="0" borderId="0" xfId="3" applyFont="1" applyProtection="1">
      <protection locked="0" hidden="1"/>
    </xf>
    <xf numFmtId="1" fontId="13" fillId="0" borderId="0" xfId="3" applyNumberFormat="1" applyFont="1" applyFill="1" applyAlignment="1" applyProtection="1">
      <alignment horizontal="center"/>
      <protection locked="0" hidden="1"/>
    </xf>
    <xf numFmtId="1" fontId="2" fillId="0" borderId="0" xfId="3" applyNumberFormat="1" applyFont="1" applyAlignment="1" applyProtection="1">
      <alignment horizontal="center"/>
      <protection locked="0" hidden="1"/>
    </xf>
    <xf numFmtId="1" fontId="13" fillId="6" borderId="0" xfId="3" applyNumberFormat="1" applyFont="1" applyFill="1" applyAlignment="1" applyProtection="1">
      <alignment horizontal="center"/>
      <protection locked="0" hidden="1"/>
    </xf>
    <xf numFmtId="1" fontId="35" fillId="6" borderId="0" xfId="3" applyNumberFormat="1" applyFont="1" applyFill="1" applyAlignment="1" applyProtection="1">
      <alignment horizontal="center"/>
      <protection locked="0" hidden="1"/>
    </xf>
    <xf numFmtId="0" fontId="37" fillId="0" borderId="0" xfId="3" applyNumberFormat="1" applyFont="1" applyAlignment="1" applyProtection="1">
      <alignment horizontal="left"/>
      <protection locked="0" hidden="1"/>
    </xf>
    <xf numFmtId="1" fontId="13" fillId="0" borderId="0" xfId="3" applyNumberFormat="1" applyFont="1" applyFill="1" applyBorder="1" applyAlignment="1" applyProtection="1">
      <alignment horizontal="center" vertical="center"/>
      <protection locked="0" hidden="1"/>
    </xf>
    <xf numFmtId="1" fontId="5" fillId="0" borderId="0" xfId="3" applyNumberFormat="1" applyFont="1" applyFill="1" applyBorder="1" applyAlignment="1" applyProtection="1">
      <alignment horizontal="center" vertical="center"/>
      <protection locked="0" hidden="1"/>
    </xf>
    <xf numFmtId="1" fontId="38" fillId="6" borderId="0" xfId="3" applyNumberFormat="1" applyFont="1" applyFill="1" applyAlignment="1" applyProtection="1">
      <alignment horizontal="center"/>
      <protection locked="0" hidden="1"/>
    </xf>
    <xf numFmtId="1" fontId="2" fillId="6" borderId="0" xfId="3" applyNumberFormat="1" applyFont="1" applyFill="1" applyAlignment="1" applyProtection="1">
      <alignment horizontal="center"/>
      <protection locked="0" hidden="1"/>
    </xf>
    <xf numFmtId="0" fontId="8" fillId="0" borderId="0" xfId="0" applyFont="1" applyProtection="1">
      <protection locked="0" hidden="1"/>
    </xf>
    <xf numFmtId="0" fontId="8" fillId="0" borderId="0" xfId="0" applyNumberFormat="1" applyFont="1" applyProtection="1">
      <protection locked="0" hidden="1"/>
    </xf>
    <xf numFmtId="0" fontId="6" fillId="0" borderId="0" xfId="0" applyFont="1" applyBorder="1" applyAlignment="1" applyProtection="1">
      <alignment vertical="center"/>
      <protection locked="0" hidden="1"/>
    </xf>
    <xf numFmtId="0" fontId="42" fillId="0" borderId="0" xfId="0" applyNumberFormat="1" applyFont="1" applyBorder="1" applyAlignment="1" applyProtection="1">
      <alignment horizontal="left" vertical="center"/>
      <protection locked="0" hidden="1"/>
    </xf>
    <xf numFmtId="0" fontId="43" fillId="0" borderId="0" xfId="0" applyFont="1" applyBorder="1" applyAlignment="1" applyProtection="1">
      <alignment horizontal="center" vertical="center"/>
      <protection locked="0" hidden="1"/>
    </xf>
    <xf numFmtId="0" fontId="13" fillId="0" borderId="0" xfId="0" applyFont="1" applyBorder="1" applyAlignment="1" applyProtection="1">
      <alignment horizontal="center" vertical="center"/>
      <protection locked="0" hidden="1"/>
    </xf>
    <xf numFmtId="0" fontId="19" fillId="0" borderId="0" xfId="0" applyFont="1" applyBorder="1" applyAlignment="1" applyProtection="1">
      <alignment horizontal="center" vertical="center"/>
      <protection locked="0" hidden="1"/>
    </xf>
    <xf numFmtId="0" fontId="20" fillId="0" borderId="0" xfId="0" applyFont="1" applyBorder="1" applyAlignment="1" applyProtection="1">
      <alignment horizontal="center" vertical="center"/>
      <protection locked="0" hidden="1"/>
    </xf>
    <xf numFmtId="0" fontId="2" fillId="0" borderId="0" xfId="0" applyFont="1" applyAlignment="1" applyProtection="1">
      <alignment vertical="center"/>
      <protection locked="0" hidden="1"/>
    </xf>
    <xf numFmtId="0" fontId="2" fillId="0" borderId="0" xfId="0" applyNumberFormat="1" applyFont="1" applyAlignment="1" applyProtection="1">
      <alignment vertical="center"/>
      <protection locked="0" hidden="1"/>
    </xf>
    <xf numFmtId="0" fontId="2" fillId="0" borderId="0" xfId="3" applyFont="1" applyAlignment="1" applyProtection="1">
      <alignment vertical="center"/>
      <protection locked="0" hidden="1"/>
    </xf>
    <xf numFmtId="0" fontId="2" fillId="0" borderId="0" xfId="3" applyNumberFormat="1" applyFont="1" applyAlignment="1" applyProtection="1">
      <alignment horizontal="left" vertical="center"/>
      <protection locked="0" hidden="1"/>
    </xf>
    <xf numFmtId="0" fontId="20" fillId="0" borderId="0" xfId="3" applyFont="1" applyFill="1" applyAlignment="1" applyProtection="1">
      <alignment horizontal="center" vertical="center"/>
      <protection locked="0" hidden="1"/>
    </xf>
    <xf numFmtId="0" fontId="19" fillId="0" borderId="0" xfId="3" applyFont="1" applyAlignment="1" applyProtection="1">
      <alignment vertical="center"/>
      <protection locked="0" hidden="1"/>
    </xf>
    <xf numFmtId="0" fontId="13" fillId="0" borderId="0" xfId="3" applyFont="1" applyAlignment="1" applyProtection="1">
      <alignment vertical="center"/>
      <protection locked="0" hidden="1"/>
    </xf>
    <xf numFmtId="0" fontId="5" fillId="0" borderId="0" xfId="3" applyFont="1" applyAlignment="1" applyProtection="1">
      <alignment vertical="center"/>
      <protection locked="0" hidden="1"/>
    </xf>
    <xf numFmtId="0" fontId="17" fillId="0" borderId="0" xfId="3" applyFont="1" applyAlignment="1" applyProtection="1">
      <alignment horizontal="center" vertical="center"/>
      <protection locked="0" hidden="1"/>
    </xf>
    <xf numFmtId="0" fontId="36" fillId="0" borderId="0" xfId="3" applyFont="1" applyAlignment="1" applyProtection="1">
      <alignment horizontal="center" vertical="center"/>
      <protection locked="0" hidden="1"/>
    </xf>
    <xf numFmtId="0" fontId="13" fillId="0" borderId="0" xfId="3" applyFont="1" applyFill="1" applyAlignment="1" applyProtection="1">
      <alignment horizontal="center" vertical="center"/>
      <protection locked="0" hidden="1"/>
    </xf>
    <xf numFmtId="0" fontId="3" fillId="0" borderId="0" xfId="0" applyFont="1" applyAlignment="1">
      <alignment horizontal="center" vertical="center"/>
    </xf>
    <xf numFmtId="22" fontId="18" fillId="0" borderId="0" xfId="0" applyNumberFormat="1" applyFont="1" applyBorder="1" applyAlignment="1">
      <alignment vertical="center"/>
    </xf>
    <xf numFmtId="0" fontId="18" fillId="0" borderId="0" xfId="0" applyFont="1" applyBorder="1" applyAlignment="1">
      <alignment vertical="center"/>
    </xf>
    <xf numFmtId="22" fontId="18" fillId="0" borderId="14" xfId="0" applyNumberFormat="1" applyFont="1" applyBorder="1" applyAlignment="1">
      <alignment vertical="center"/>
    </xf>
    <xf numFmtId="0" fontId="18" fillId="0" borderId="14" xfId="0" applyFont="1" applyBorder="1" applyAlignment="1">
      <alignment vertical="center"/>
    </xf>
    <xf numFmtId="22" fontId="18" fillId="0" borderId="0" xfId="0" applyNumberFormat="1" applyFont="1" applyAlignment="1">
      <alignment vertical="center"/>
    </xf>
    <xf numFmtId="0" fontId="18" fillId="0" borderId="0" xfId="0" applyFont="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13" fillId="0" borderId="0" xfId="0" applyFont="1" applyFill="1" applyBorder="1" applyAlignment="1" applyProtection="1">
      <alignment horizontal="center" vertical="center"/>
      <protection hidden="1"/>
    </xf>
    <xf numFmtId="0" fontId="13" fillId="0" borderId="0" xfId="0" applyFont="1" applyFill="1" applyAlignment="1" applyProtection="1">
      <alignment horizontal="center" vertical="center"/>
      <protection hidden="1"/>
    </xf>
    <xf numFmtId="0" fontId="3" fillId="3" borderId="0" xfId="0" applyFont="1" applyFill="1" applyAlignment="1" applyProtection="1">
      <alignment horizontal="center"/>
      <protection hidden="1"/>
    </xf>
    <xf numFmtId="0" fontId="44" fillId="0" borderId="0"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16" fillId="0" borderId="0" xfId="0" applyFont="1" applyFill="1" applyAlignment="1" applyProtection="1">
      <alignment horizontal="center"/>
      <protection hidden="1"/>
    </xf>
    <xf numFmtId="0" fontId="44" fillId="0" borderId="0" xfId="0" applyFont="1" applyFill="1" applyAlignment="1" applyProtection="1">
      <alignment horizontal="center" vertical="center"/>
      <protection hidden="1"/>
    </xf>
    <xf numFmtId="0" fontId="3" fillId="0" borderId="1" xfId="0" applyNumberFormat="1" applyFont="1" applyFill="1" applyBorder="1" applyAlignment="1" applyProtection="1">
      <alignment horizontal="center" vertical="center"/>
      <protection hidden="1"/>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9" fillId="0" borderId="0" xfId="0" applyFont="1" applyFill="1" applyAlignment="1" applyProtection="1">
      <alignment horizontal="center"/>
      <protection locked="0"/>
    </xf>
    <xf numFmtId="0" fontId="11" fillId="3" borderId="0" xfId="0" applyFont="1" applyFill="1" applyAlignment="1" applyProtection="1">
      <alignment horizontal="center"/>
      <protection hidden="1"/>
    </xf>
    <xf numFmtId="0" fontId="29" fillId="0" borderId="0" xfId="0" applyFont="1" applyFill="1" applyAlignment="1" applyProtection="1">
      <alignment horizontal="center"/>
      <protection hidden="1"/>
    </xf>
    <xf numFmtId="14" fontId="4" fillId="0" borderId="0" xfId="0" applyNumberFormat="1" applyFont="1" applyProtection="1">
      <protection hidden="1"/>
    </xf>
    <xf numFmtId="0" fontId="0" fillId="28" borderId="0" xfId="0" applyFill="1" applyAlignment="1">
      <alignment horizontal="center"/>
    </xf>
    <xf numFmtId="0" fontId="4" fillId="28" borderId="0" xfId="0" applyFont="1" applyFill="1" applyProtection="1">
      <protection hidden="1"/>
    </xf>
    <xf numFmtId="0" fontId="4" fillId="28" borderId="0" xfId="0" applyFont="1" applyFill="1" applyAlignment="1" applyProtection="1">
      <alignment horizontal="center"/>
      <protection hidden="1"/>
    </xf>
    <xf numFmtId="0" fontId="2" fillId="0" borderId="0" xfId="0" applyFont="1" applyAlignment="1" applyProtection="1">
      <alignment horizontal="center" vertical="center"/>
      <protection hidden="1"/>
    </xf>
    <xf numFmtId="22" fontId="11" fillId="0" borderId="2" xfId="0" applyNumberFormat="1" applyFont="1" applyBorder="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vertical="center"/>
      <protection hidden="1"/>
    </xf>
    <xf numFmtId="0" fontId="0" fillId="0" borderId="0" xfId="0" applyFill="1" applyAlignment="1" applyProtection="1">
      <alignment horizontal="center"/>
      <protection hidden="1"/>
    </xf>
    <xf numFmtId="0" fontId="4" fillId="0" borderId="0" xfId="0" quotePrefix="1" applyFont="1" applyFill="1" applyAlignment="1" applyProtection="1">
      <protection hidden="1"/>
    </xf>
    <xf numFmtId="22" fontId="11" fillId="0" borderId="1" xfId="0" applyNumberFormat="1" applyFont="1" applyBorder="1" applyAlignment="1" applyProtection="1">
      <alignment vertical="center"/>
      <protection hidden="1"/>
    </xf>
    <xf numFmtId="0" fontId="4" fillId="0" borderId="0" xfId="0" quotePrefix="1" applyFont="1" applyProtection="1">
      <protection hidden="1"/>
    </xf>
    <xf numFmtId="0" fontId="2"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right" vertical="center"/>
      <protection hidden="1"/>
    </xf>
    <xf numFmtId="0" fontId="2" fillId="0" borderId="0" xfId="0" applyFont="1" applyFill="1" applyAlignment="1" applyProtection="1">
      <alignment horizontal="right" vertical="center"/>
      <protection hidden="1"/>
    </xf>
    <xf numFmtId="164" fontId="46" fillId="29" borderId="0" xfId="0" applyNumberFormat="1" applyFont="1" applyFill="1" applyAlignment="1" applyProtection="1">
      <alignment horizontal="right"/>
      <protection hidden="1"/>
    </xf>
    <xf numFmtId="0" fontId="26" fillId="16" borderId="35" xfId="0" applyFont="1" applyFill="1" applyBorder="1" applyProtection="1">
      <protection hidden="1"/>
    </xf>
    <xf numFmtId="0" fontId="26" fillId="16" borderId="8" xfId="0" applyFont="1" applyFill="1" applyBorder="1" applyProtection="1">
      <protection locked="0"/>
    </xf>
    <xf numFmtId="0" fontId="26" fillId="16" borderId="5" xfId="0" applyFont="1" applyFill="1" applyBorder="1" applyAlignment="1" applyProtection="1">
      <alignment horizontal="center"/>
      <protection hidden="1"/>
    </xf>
    <xf numFmtId="0" fontId="26" fillId="16" borderId="6" xfId="0" applyFont="1" applyFill="1" applyBorder="1" applyAlignment="1" applyProtection="1">
      <alignment horizontal="center"/>
      <protection hidden="1"/>
    </xf>
    <xf numFmtId="0" fontId="31" fillId="0" borderId="14" xfId="0" applyNumberFormat="1" applyFont="1" applyBorder="1" applyAlignment="1" applyProtection="1">
      <alignment horizontal="left" vertical="top" wrapText="1"/>
      <protection hidden="1"/>
    </xf>
    <xf numFmtId="0" fontId="33" fillId="0" borderId="0" xfId="0" applyFont="1" applyBorder="1" applyAlignment="1" applyProtection="1">
      <alignment horizontal="left" vertical="top" wrapText="1"/>
      <protection hidden="1"/>
    </xf>
    <xf numFmtId="0" fontId="11"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0" fontId="8" fillId="0" borderId="0" xfId="0" applyFont="1" applyAlignment="1" applyProtection="1">
      <alignment horizontal="center"/>
      <protection hidden="1"/>
    </xf>
    <xf numFmtId="0" fontId="11" fillId="0" borderId="2"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1" xfId="0" applyNumberFormat="1" applyFont="1" applyBorder="1" applyAlignment="1" applyProtection="1">
      <alignment horizontal="center" vertical="center"/>
      <protection hidden="1"/>
    </xf>
    <xf numFmtId="0" fontId="35" fillId="0" borderId="1" xfId="0" applyFont="1" applyBorder="1" applyAlignment="1" applyProtection="1">
      <alignment horizontal="center" vertical="center"/>
      <protection locked="0" hidden="1"/>
    </xf>
    <xf numFmtId="0" fontId="8" fillId="0" borderId="0" xfId="0" applyFont="1" applyAlignment="1" applyProtection="1">
      <alignment horizontal="center"/>
      <protection locked="0" hidden="1"/>
    </xf>
    <xf numFmtId="0" fontId="35" fillId="0" borderId="2" xfId="0" applyFont="1" applyBorder="1" applyAlignment="1" applyProtection="1">
      <alignment horizontal="center" vertical="center"/>
      <protection locked="0" hidden="1"/>
    </xf>
    <xf numFmtId="0" fontId="35" fillId="0" borderId="3" xfId="0" applyFont="1" applyBorder="1" applyAlignment="1" applyProtection="1">
      <alignment horizontal="center" vertical="center"/>
      <protection locked="0" hidden="1"/>
    </xf>
    <xf numFmtId="0" fontId="35" fillId="0" borderId="1" xfId="0" applyNumberFormat="1" applyFont="1" applyBorder="1" applyAlignment="1" applyProtection="1">
      <alignment horizontal="center" vertical="center"/>
      <protection locked="0" hidden="1"/>
    </xf>
    <xf numFmtId="0" fontId="13" fillId="0" borderId="1" xfId="0" applyFont="1" applyBorder="1" applyAlignment="1" applyProtection="1">
      <alignment horizontal="center" vertical="center"/>
      <protection locked="0" hidden="1"/>
    </xf>
    <xf numFmtId="0" fontId="8" fillId="0" borderId="0" xfId="0" applyFont="1" applyAlignment="1">
      <alignment horizontal="center"/>
    </xf>
    <xf numFmtId="0" fontId="14" fillId="4" borderId="22" xfId="0" applyFont="1" applyFill="1" applyBorder="1" applyAlignment="1">
      <alignment horizontal="center" vertical="center"/>
    </xf>
    <xf numFmtId="0" fontId="3" fillId="0" borderId="5" xfId="0" quotePrefix="1"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22" fillId="0" borderId="1" xfId="0" applyFont="1" applyFill="1" applyBorder="1" applyAlignment="1">
      <alignment horizontal="center"/>
    </xf>
    <xf numFmtId="0" fontId="9" fillId="5" borderId="21" xfId="0"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3" xfId="0" applyFont="1" applyFill="1" applyBorder="1" applyAlignment="1">
      <alignment horizontal="center" vertical="center"/>
    </xf>
    <xf numFmtId="0" fontId="9" fillId="5" borderId="1" xfId="0" applyFont="1" applyFill="1" applyBorder="1" applyAlignment="1">
      <alignment horizontal="center" vertical="center"/>
    </xf>
    <xf numFmtId="0" fontId="14" fillId="4" borderId="11" xfId="0" applyFont="1" applyFill="1" applyBorder="1" applyAlignment="1">
      <alignment horizontal="center" vertical="center"/>
    </xf>
    <xf numFmtId="0" fontId="9" fillId="5" borderId="3" xfId="0" applyFont="1" applyFill="1" applyBorder="1" applyAlignment="1" applyProtection="1">
      <alignment horizontal="center" vertical="center"/>
      <protection locked="0"/>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9" fillId="5" borderId="12" xfId="0" applyFont="1" applyFill="1" applyBorder="1" applyAlignment="1" applyProtection="1">
      <alignment horizontal="center" vertical="center"/>
      <protection locked="0"/>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12" fillId="25" borderId="26" xfId="0" applyFont="1" applyFill="1" applyBorder="1" applyAlignment="1">
      <alignment horizontal="center" vertical="center"/>
    </xf>
    <xf numFmtId="0" fontId="12" fillId="25" borderId="29" xfId="0" applyFont="1" applyFill="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12" fillId="26" borderId="29" xfId="0" applyFont="1" applyFill="1" applyBorder="1" applyAlignment="1">
      <alignment horizontal="center" vertical="center"/>
    </xf>
    <xf numFmtId="0" fontId="12" fillId="27" borderId="29"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1"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 xfId="0" quotePrefix="1" applyFont="1" applyFill="1" applyBorder="1" applyAlignment="1">
      <alignment horizontal="center" vertical="center"/>
    </xf>
    <xf numFmtId="0" fontId="3" fillId="0" borderId="14" xfId="0" quotePrefix="1" applyFont="1" applyFill="1" applyBorder="1" applyAlignment="1">
      <alignment horizontal="center" vertical="center"/>
    </xf>
    <xf numFmtId="0" fontId="3" fillId="0" borderId="6" xfId="0" quotePrefix="1" applyFont="1" applyFill="1" applyBorder="1" applyAlignment="1">
      <alignment horizontal="center" vertical="center"/>
    </xf>
    <xf numFmtId="0" fontId="3" fillId="0" borderId="7" xfId="0" quotePrefix="1" applyFont="1" applyFill="1" applyBorder="1" applyAlignment="1">
      <alignment horizontal="center" vertical="center"/>
    </xf>
    <xf numFmtId="0" fontId="3" fillId="0" borderId="19" xfId="0" quotePrefix="1" applyFont="1" applyFill="1" applyBorder="1" applyAlignment="1">
      <alignment horizontal="center" vertical="center"/>
    </xf>
    <xf numFmtId="0" fontId="3" fillId="0" borderId="8" xfId="0" quotePrefix="1" applyFont="1" applyFill="1" applyBorder="1" applyAlignment="1">
      <alignment horizontal="center" vertical="center"/>
    </xf>
    <xf numFmtId="0" fontId="0" fillId="0" borderId="0" xfId="0" applyBorder="1" applyAlignment="1">
      <alignment horizontal="center" vertical="center"/>
    </xf>
    <xf numFmtId="0" fontId="3" fillId="0" borderId="22" xfId="0" applyNumberFormat="1" applyFont="1" applyFill="1" applyBorder="1" applyAlignment="1" applyProtection="1">
      <alignment horizontal="center" vertical="center"/>
      <protection hidden="1"/>
    </xf>
    <xf numFmtId="0" fontId="3" fillId="0" borderId="34" xfId="0" applyNumberFormat="1" applyFont="1" applyFill="1" applyBorder="1" applyAlignment="1" applyProtection="1">
      <alignment horizontal="center" vertical="center"/>
      <protection hidden="1"/>
    </xf>
    <xf numFmtId="0" fontId="3" fillId="0" borderId="21" xfId="0" applyNumberFormat="1" applyFont="1" applyFill="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0" fontId="11" fillId="0" borderId="1" xfId="0" applyNumberFormat="1" applyFont="1" applyBorder="1" applyAlignment="1" applyProtection="1">
      <alignment horizontal="right" vertical="center"/>
      <protection hidden="1"/>
    </xf>
  </cellXfs>
  <cellStyles count="6">
    <cellStyle name="Normal 2" xfId="3"/>
    <cellStyle name="Normal 3" xfId="4"/>
    <cellStyle name="Normal 4" xfId="5"/>
    <cellStyle name="Normální" xfId="0" builtinId="0"/>
    <cellStyle name="Normalno 2" xfId="1"/>
    <cellStyle name="Winner" xfId="2"/>
  </cellStyles>
  <dxfs count="572">
    <dxf>
      <font>
        <color theme="1"/>
      </font>
      <fill>
        <patternFill>
          <bgColor theme="1"/>
        </patternFill>
      </fill>
    </dxf>
    <dxf>
      <font>
        <b/>
        <i/>
      </font>
      <fill>
        <patternFill>
          <bgColor theme="0" tint="-0.14996795556505021"/>
        </patternFill>
      </fill>
    </dxf>
    <dxf>
      <fill>
        <patternFill patternType="solid">
          <bgColor theme="0"/>
        </patternFill>
      </fill>
    </dxf>
    <dxf>
      <font>
        <color theme="1"/>
      </font>
      <fill>
        <patternFill>
          <bgColor theme="1"/>
        </patternFill>
      </fill>
    </dxf>
    <dxf>
      <font>
        <color theme="1"/>
      </font>
      <fill>
        <patternFill>
          <bgColor theme="1"/>
        </patternFill>
      </fill>
    </dxf>
    <dxf>
      <font>
        <b/>
        <i val="0"/>
        <color rgb="FF006100"/>
      </font>
      <fill>
        <patternFill>
          <bgColor rgb="FFC6EFCE"/>
        </patternFill>
      </fill>
    </dxf>
    <dxf>
      <font>
        <color theme="1"/>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color theme="1"/>
      </font>
      <fill>
        <patternFill>
          <bgColor theme="1"/>
        </patternFill>
      </fill>
    </dxf>
    <dxf>
      <font>
        <color theme="1"/>
      </font>
      <fill>
        <patternFill>
          <bgColor theme="1"/>
        </patternFill>
      </fill>
    </dxf>
    <dxf>
      <font>
        <b/>
        <i val="0"/>
        <color rgb="FF006100"/>
      </font>
      <fill>
        <patternFill>
          <bgColor rgb="FFC6EFCE"/>
        </patternFill>
      </fill>
    </dxf>
    <dxf>
      <font>
        <color theme="1"/>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color theme="1"/>
      </font>
      <fill>
        <patternFill>
          <bgColor theme="1"/>
        </patternFill>
      </fill>
    </dxf>
    <dxf>
      <font>
        <color theme="1"/>
      </font>
      <fill>
        <patternFill>
          <bgColor theme="1"/>
        </patternFill>
      </fill>
    </dxf>
    <dxf>
      <font>
        <b/>
        <i val="0"/>
        <color rgb="FF006100"/>
      </font>
      <fill>
        <patternFill>
          <bgColor rgb="FFC6EFCE"/>
        </patternFill>
      </fill>
    </dxf>
    <dxf>
      <font>
        <color theme="1"/>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color theme="1"/>
      </font>
      <fill>
        <patternFill>
          <bgColor theme="1"/>
        </patternFill>
      </fill>
    </dxf>
    <dxf>
      <font>
        <color theme="1"/>
      </font>
      <fill>
        <patternFill>
          <bgColor theme="1"/>
        </patternFill>
      </fill>
    </dxf>
    <dxf>
      <font>
        <b/>
        <i val="0"/>
        <color rgb="FF006100"/>
      </font>
      <fill>
        <patternFill>
          <bgColor rgb="FFC6EFCE"/>
        </patternFill>
      </fill>
    </dxf>
    <dxf>
      <font>
        <color theme="1"/>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color theme="1"/>
      </font>
      <fill>
        <patternFill>
          <bgColor theme="1"/>
        </patternFill>
      </fill>
    </dxf>
    <dxf>
      <font>
        <color theme="1"/>
      </font>
      <fill>
        <patternFill>
          <bgColor theme="1"/>
        </patternFill>
      </fill>
    </dxf>
    <dxf>
      <font>
        <b/>
        <i val="0"/>
        <color rgb="FF006100"/>
      </font>
      <fill>
        <patternFill>
          <bgColor rgb="FFC6EFCE"/>
        </patternFill>
      </fill>
    </dxf>
    <dxf>
      <font>
        <color theme="1"/>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color theme="1"/>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font>
      <fill>
        <patternFill>
          <bgColor rgb="FFFFFF00"/>
        </patternFill>
      </fill>
      <border>
        <left style="thin">
          <color auto="1"/>
        </left>
        <right style="thin">
          <color auto="1"/>
        </right>
        <top style="thin">
          <color auto="1"/>
        </top>
        <bottom style="thin">
          <color auto="1"/>
        </bottom>
        <vertical/>
        <horizontal/>
      </border>
    </dxf>
    <dxf>
      <font>
        <b/>
        <i val="0"/>
        <color rgb="FFFFFF00"/>
      </font>
      <fill>
        <patternFill>
          <bgColor theme="1"/>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bgColor rgb="FFC6EFCE"/>
        </patternFill>
      </fill>
    </dxf>
    <dxf>
      <font>
        <b/>
        <i val="0"/>
        <color rgb="FF006100"/>
      </font>
      <fill>
        <patternFill patternType="solid">
          <fgColor rgb="FFC6EFCE"/>
          <bgColor rgb="FFC6EFCE"/>
        </patternFill>
      </fill>
    </dxf>
    <dxf>
      <font>
        <b/>
        <i val="0"/>
        <color rgb="FF006100"/>
      </font>
      <fill>
        <patternFill>
          <bgColor rgb="FFC6EFCE"/>
        </patternFill>
      </fill>
    </dxf>
    <dxf>
      <fill>
        <patternFill patternType="none">
          <bgColor auto="1"/>
        </patternFill>
      </fill>
    </dxf>
    <dxf>
      <font>
        <b/>
        <i/>
      </font>
      <fill>
        <patternFill>
          <bgColor theme="0" tint="-0.14996795556505021"/>
        </patternFill>
      </fill>
    </dxf>
    <dxf>
      <fill>
        <patternFill patternType="solid">
          <bgColor theme="0"/>
        </patternFill>
      </fill>
    </dxf>
    <dxf>
      <font>
        <color theme="1"/>
      </font>
      <fill>
        <patternFill>
          <bgColor theme="1"/>
        </patternFill>
      </fill>
    </dxf>
    <dxf>
      <fill>
        <patternFill patternType="solid">
          <bgColor theme="0"/>
        </patternFill>
      </fill>
    </dxf>
    <dxf>
      <font>
        <b val="0"/>
        <i/>
      </font>
      <fill>
        <patternFill patternType="none">
          <bgColor auto="1"/>
        </patternFill>
      </fill>
    </dxf>
    <dxf>
      <font>
        <b/>
        <i val="0"/>
      </font>
      <fill>
        <patternFill>
          <bgColor theme="0" tint="-0.24994659260841701"/>
        </patternFill>
      </fill>
    </dxf>
    <dxf>
      <font>
        <b/>
        <i val="0"/>
      </font>
      <fill>
        <patternFill>
          <bgColor theme="0" tint="-0.34998626667073579"/>
        </patternFill>
      </fill>
    </dxf>
    <dxf>
      <font>
        <color theme="1"/>
      </font>
      <fill>
        <patternFill>
          <bgColor theme="1"/>
        </patternFill>
      </fill>
    </dxf>
    <dxf>
      <font>
        <b/>
        <i val="0"/>
      </font>
      <fill>
        <patternFill>
          <bgColor theme="0" tint="-0.24994659260841701"/>
        </patternFill>
      </fill>
    </dxf>
    <dxf>
      <font>
        <b/>
        <i val="0"/>
        <color auto="1"/>
      </font>
      <fill>
        <patternFill>
          <bgColor theme="0" tint="-0.34998626667073579"/>
        </patternFill>
      </fill>
    </dxf>
    <dxf>
      <font>
        <b/>
        <i/>
      </font>
      <fill>
        <patternFill>
          <bgColor theme="0" tint="-0.14996795556505021"/>
        </patternFill>
      </fill>
    </dxf>
    <dxf>
      <fill>
        <patternFill patternType="solid">
          <bgColor theme="0"/>
        </patternFill>
      </fill>
    </dxf>
    <dxf>
      <font>
        <b val="0"/>
        <i/>
      </font>
      <fill>
        <patternFill patternType="none">
          <bgColor auto="1"/>
        </patternFill>
      </fill>
    </dxf>
    <dxf>
      <font>
        <color theme="1"/>
      </font>
      <fill>
        <patternFill>
          <bgColor theme="1"/>
        </patternFill>
      </fill>
    </dxf>
    <dxf>
      <font>
        <b/>
        <i val="0"/>
      </font>
      <fill>
        <patternFill>
          <bgColor theme="0" tint="-0.24994659260841701"/>
        </patternFill>
      </fill>
    </dxf>
    <dxf>
      <font>
        <b/>
        <i val="0"/>
        <color auto="1"/>
      </font>
      <fill>
        <patternFill>
          <bgColor theme="0" tint="-0.34998626667073579"/>
        </patternFill>
      </fill>
    </dxf>
    <dxf>
      <font>
        <b/>
        <i/>
      </font>
      <fill>
        <patternFill>
          <bgColor theme="0" tint="-0.14996795556505021"/>
        </patternFill>
      </fill>
    </dxf>
    <dxf>
      <fill>
        <patternFill patternType="solid">
          <bgColor theme="0"/>
        </patternFill>
      </fill>
    </dxf>
    <dxf>
      <font>
        <b val="0"/>
        <i/>
      </font>
      <fill>
        <patternFill patternType="none">
          <bgColor auto="1"/>
        </patternFill>
      </fill>
    </dxf>
    <dxf>
      <font>
        <color theme="1"/>
      </font>
      <fill>
        <patternFill>
          <bgColor theme="0"/>
        </patternFill>
      </fill>
    </dxf>
    <dxf>
      <font>
        <color theme="1"/>
      </font>
      <fill>
        <patternFill>
          <bgColor theme="0"/>
        </patternFill>
      </fill>
    </dxf>
    <dxf>
      <font>
        <b val="0"/>
        <i/>
      </font>
      <fill>
        <patternFill patternType="none">
          <bgColor auto="1"/>
        </patternFill>
      </fill>
    </dxf>
    <dxf>
      <font>
        <b val="0"/>
        <i/>
      </font>
      <fill>
        <patternFill patternType="none">
          <bgColor auto="1"/>
        </patternFill>
      </fill>
    </dxf>
    <dxf>
      <font>
        <b/>
        <i val="0"/>
      </font>
      <fill>
        <patternFill>
          <bgColor theme="0" tint="-0.24994659260841701"/>
        </patternFill>
      </fill>
    </dxf>
    <dxf>
      <font>
        <b/>
        <i val="0"/>
      </font>
      <fill>
        <patternFill>
          <bgColor theme="0" tint="-0.24994659260841701"/>
        </patternFill>
      </fill>
    </dxf>
    <dxf>
      <font>
        <b val="0"/>
        <i/>
      </font>
      <fill>
        <patternFill patternType="none">
          <bgColor auto="1"/>
        </patternFill>
      </fill>
    </dxf>
    <dxf>
      <font>
        <b val="0"/>
        <i/>
      </font>
      <fill>
        <patternFill patternType="none">
          <bgColor auto="1"/>
        </patternFill>
      </fill>
    </dxf>
    <dxf>
      <font>
        <b/>
        <i val="0"/>
      </font>
      <fill>
        <patternFill>
          <bgColor theme="0" tint="-0.24994659260841701"/>
        </patternFill>
      </fill>
    </dxf>
    <dxf>
      <font>
        <b/>
        <i val="0"/>
      </font>
      <fill>
        <patternFill>
          <bgColor theme="0" tint="-0.24994659260841701"/>
        </patternFill>
      </fill>
    </dxf>
    <dxf>
      <font>
        <b val="0"/>
        <i/>
      </font>
      <fill>
        <patternFill patternType="none">
          <bgColor auto="1"/>
        </patternFill>
      </fill>
    </dxf>
    <dxf>
      <font>
        <b val="0"/>
        <i/>
      </font>
      <fill>
        <patternFill patternType="none">
          <bgColor auto="1"/>
        </patternFill>
      </fill>
    </dxf>
    <dxf>
      <font>
        <b val="0"/>
        <i/>
      </font>
      <fill>
        <patternFill patternType="none">
          <bgColor auto="1"/>
        </patternFill>
      </fill>
    </dxf>
    <dxf>
      <font>
        <b val="0"/>
        <i/>
      </font>
      <fill>
        <patternFill patternType="none">
          <bgColor auto="1"/>
        </patternFill>
      </fill>
    </dxf>
    <dxf>
      <font>
        <b/>
        <i val="0"/>
      </font>
      <fill>
        <patternFill>
          <bgColor theme="0" tint="-0.24994659260841701"/>
        </patternFill>
      </fill>
    </dxf>
    <dxf>
      <font>
        <b/>
        <i val="0"/>
      </font>
      <fill>
        <patternFill>
          <bgColor theme="0" tint="-0.34998626667073579"/>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i val="0"/>
      </font>
      <fill>
        <patternFill>
          <bgColor theme="0" tint="-0.24994659260841701"/>
        </patternFill>
      </fill>
    </dxf>
    <dxf>
      <font>
        <b val="0"/>
        <i/>
      </font>
      <fill>
        <patternFill patternType="none">
          <bgColor auto="1"/>
        </patternFill>
      </fill>
    </dxf>
    <dxf>
      <font>
        <b val="0"/>
        <i/>
      </font>
      <fill>
        <patternFill patternType="none">
          <bgColor auto="1"/>
        </patternFill>
      </fill>
    </dxf>
    <dxf>
      <font>
        <b/>
        <i val="0"/>
      </font>
      <fill>
        <patternFill>
          <bgColor theme="0" tint="-0.24994659260841701"/>
        </patternFill>
      </fill>
    </dxf>
  </dxfs>
  <tableStyles count="0" defaultTableStyle="TableStyleMedium2" defaultPivotStyle="PivotStyleLight16"/>
  <colors>
    <mruColors>
      <color rgb="FFA65E06"/>
      <color rgb="FFBD6B07"/>
      <color rgb="FFD27708"/>
      <color rgb="FFFFCC00"/>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mailto:m.oborovecki@net.hr"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534865</xdr:colOff>
      <xdr:row>0</xdr:row>
      <xdr:rowOff>80595</xdr:rowOff>
    </xdr:from>
    <xdr:to>
      <xdr:col>3</xdr:col>
      <xdr:colOff>1912327</xdr:colOff>
      <xdr:row>6</xdr:row>
      <xdr:rowOff>87922</xdr:rowOff>
    </xdr:to>
    <xdr:pic>
      <xdr:nvPicPr>
        <xdr:cNvPr id="2" name="Picture 1" descr="MadeWithMv.png">
          <a:hlinkClick xmlns:r="http://schemas.openxmlformats.org/officeDocument/2006/relationships" r:id="rId1"/>
        </xdr:cNvPr>
        <xdr:cNvPicPr>
          <a:picLocks noChangeAspect="1"/>
        </xdr:cNvPicPr>
      </xdr:nvPicPr>
      <xdr:blipFill>
        <a:blip xmlns:r="http://schemas.openxmlformats.org/officeDocument/2006/relationships" r:embed="rId2"/>
        <a:srcRect/>
        <a:stretch>
          <a:fillRect/>
        </a:stretch>
      </xdr:blipFill>
      <xdr:spPr>
        <a:xfrm>
          <a:off x="7612673" y="80595"/>
          <a:ext cx="1377462" cy="138478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59</xdr:col>
      <xdr:colOff>47625</xdr:colOff>
      <xdr:row>0</xdr:row>
      <xdr:rowOff>0</xdr:rowOff>
    </xdr:from>
    <xdr:to>
      <xdr:col>62</xdr:col>
      <xdr:colOff>372596</xdr:colOff>
      <xdr:row>11</xdr:row>
      <xdr:rowOff>57872</xdr:rowOff>
    </xdr:to>
    <xdr:pic>
      <xdr:nvPicPr>
        <xdr:cNvPr id="3" name="Picture 2" descr="MadeWithMv.png"/>
        <xdr:cNvPicPr>
          <a:picLocks noChangeAspect="1"/>
        </xdr:cNvPicPr>
      </xdr:nvPicPr>
      <xdr:blipFill>
        <a:blip xmlns:r="http://schemas.openxmlformats.org/officeDocument/2006/relationships" r:embed="rId1"/>
        <a:stretch>
          <a:fillRect/>
        </a:stretch>
      </xdr:blipFill>
      <xdr:spPr>
        <a:xfrm>
          <a:off x="13134975" y="0"/>
          <a:ext cx="1382246" cy="133422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59</xdr:col>
      <xdr:colOff>47625</xdr:colOff>
      <xdr:row>0</xdr:row>
      <xdr:rowOff>0</xdr:rowOff>
    </xdr:from>
    <xdr:to>
      <xdr:col>62</xdr:col>
      <xdr:colOff>372596</xdr:colOff>
      <xdr:row>11</xdr:row>
      <xdr:rowOff>57872</xdr:rowOff>
    </xdr:to>
    <xdr:pic>
      <xdr:nvPicPr>
        <xdr:cNvPr id="3" name="Picture 2" descr="MadeWithMv.png"/>
        <xdr:cNvPicPr>
          <a:picLocks noChangeAspect="1"/>
        </xdr:cNvPicPr>
      </xdr:nvPicPr>
      <xdr:blipFill>
        <a:blip xmlns:r="http://schemas.openxmlformats.org/officeDocument/2006/relationships" r:embed="rId1"/>
        <a:stretch>
          <a:fillRect/>
        </a:stretch>
      </xdr:blipFill>
      <xdr:spPr>
        <a:xfrm>
          <a:off x="13134975" y="0"/>
          <a:ext cx="1382246" cy="133422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200025</xdr:colOff>
      <xdr:row>0</xdr:row>
      <xdr:rowOff>9525</xdr:rowOff>
    </xdr:from>
    <xdr:to>
      <xdr:col>19</xdr:col>
      <xdr:colOff>366992</xdr:colOff>
      <xdr:row>4</xdr:row>
      <xdr:rowOff>132029</xdr:rowOff>
    </xdr:to>
    <xdr:pic>
      <xdr:nvPicPr>
        <xdr:cNvPr id="2" name="Picture 1" descr="MadeWithMv.png"/>
        <xdr:cNvPicPr>
          <a:picLocks noChangeAspect="1"/>
        </xdr:cNvPicPr>
      </xdr:nvPicPr>
      <xdr:blipFill>
        <a:blip xmlns:r="http://schemas.openxmlformats.org/officeDocument/2006/relationships" r:embed="rId1"/>
        <a:stretch>
          <a:fillRect/>
        </a:stretch>
      </xdr:blipFill>
      <xdr:spPr>
        <a:xfrm>
          <a:off x="12982575" y="9525"/>
          <a:ext cx="928967" cy="922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104775</xdr:colOff>
      <xdr:row>0</xdr:row>
      <xdr:rowOff>6989</xdr:rowOff>
    </xdr:from>
    <xdr:to>
      <xdr:col>24</xdr:col>
      <xdr:colOff>271742</xdr:colOff>
      <xdr:row>4</xdr:row>
      <xdr:rowOff>129493</xdr:rowOff>
    </xdr:to>
    <xdr:pic>
      <xdr:nvPicPr>
        <xdr:cNvPr id="2" name="Picture 1" descr="MadeWithMv.png"/>
        <xdr:cNvPicPr>
          <a:picLocks noChangeAspect="1"/>
        </xdr:cNvPicPr>
      </xdr:nvPicPr>
      <xdr:blipFill>
        <a:blip xmlns:r="http://schemas.openxmlformats.org/officeDocument/2006/relationships" r:embed="rId1"/>
        <a:stretch>
          <a:fillRect/>
        </a:stretch>
      </xdr:blipFill>
      <xdr:spPr>
        <a:xfrm>
          <a:off x="9534525" y="6989"/>
          <a:ext cx="928967" cy="9226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104775</xdr:colOff>
      <xdr:row>0</xdr:row>
      <xdr:rowOff>6989</xdr:rowOff>
    </xdr:from>
    <xdr:to>
      <xdr:col>27</xdr:col>
      <xdr:colOff>271742</xdr:colOff>
      <xdr:row>4</xdr:row>
      <xdr:rowOff>129493</xdr:rowOff>
    </xdr:to>
    <xdr:pic>
      <xdr:nvPicPr>
        <xdr:cNvPr id="2" name="Picture 1" descr="MadeWithMv.png"/>
        <xdr:cNvPicPr>
          <a:picLocks noChangeAspect="1"/>
        </xdr:cNvPicPr>
      </xdr:nvPicPr>
      <xdr:blipFill>
        <a:blip xmlns:r="http://schemas.openxmlformats.org/officeDocument/2006/relationships" r:embed="rId1"/>
        <a:stretch>
          <a:fillRect/>
        </a:stretch>
      </xdr:blipFill>
      <xdr:spPr>
        <a:xfrm>
          <a:off x="9191625" y="6989"/>
          <a:ext cx="928967" cy="9226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104775</xdr:colOff>
      <xdr:row>0</xdr:row>
      <xdr:rowOff>6989</xdr:rowOff>
    </xdr:from>
    <xdr:to>
      <xdr:col>27</xdr:col>
      <xdr:colOff>271742</xdr:colOff>
      <xdr:row>4</xdr:row>
      <xdr:rowOff>129493</xdr:rowOff>
    </xdr:to>
    <xdr:pic>
      <xdr:nvPicPr>
        <xdr:cNvPr id="2" name="Picture 1" descr="MadeWithMv.png"/>
        <xdr:cNvPicPr>
          <a:picLocks noChangeAspect="1"/>
        </xdr:cNvPicPr>
      </xdr:nvPicPr>
      <xdr:blipFill>
        <a:blip xmlns:r="http://schemas.openxmlformats.org/officeDocument/2006/relationships" r:embed="rId1"/>
        <a:stretch>
          <a:fillRect/>
        </a:stretch>
      </xdr:blipFill>
      <xdr:spPr>
        <a:xfrm>
          <a:off x="12677775" y="6989"/>
          <a:ext cx="928967" cy="9226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25</xdr:col>
      <xdr:colOff>104775</xdr:colOff>
      <xdr:row>0</xdr:row>
      <xdr:rowOff>6989</xdr:rowOff>
    </xdr:from>
    <xdr:to>
      <xdr:col>27</xdr:col>
      <xdr:colOff>271742</xdr:colOff>
      <xdr:row>4</xdr:row>
      <xdr:rowOff>129493</xdr:rowOff>
    </xdr:to>
    <xdr:pic>
      <xdr:nvPicPr>
        <xdr:cNvPr id="2" name="Picture 1" descr="MadeWithMv.png"/>
        <xdr:cNvPicPr>
          <a:picLocks noChangeAspect="1"/>
        </xdr:cNvPicPr>
      </xdr:nvPicPr>
      <xdr:blipFill>
        <a:blip xmlns:r="http://schemas.openxmlformats.org/officeDocument/2006/relationships" r:embed="rId1"/>
        <a:stretch>
          <a:fillRect/>
        </a:stretch>
      </xdr:blipFill>
      <xdr:spPr>
        <a:xfrm>
          <a:off x="9515475" y="6989"/>
          <a:ext cx="928967" cy="9226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59</xdr:col>
      <xdr:colOff>46504</xdr:colOff>
      <xdr:row>0</xdr:row>
      <xdr:rowOff>760</xdr:rowOff>
    </xdr:from>
    <xdr:to>
      <xdr:col>62</xdr:col>
      <xdr:colOff>371475</xdr:colOff>
      <xdr:row>11</xdr:row>
      <xdr:rowOff>58632</xdr:rowOff>
    </xdr:to>
    <xdr:pic>
      <xdr:nvPicPr>
        <xdr:cNvPr id="3" name="Picture 2" descr="MadeWithMv.png"/>
        <xdr:cNvPicPr>
          <a:picLocks noChangeAspect="1"/>
        </xdr:cNvPicPr>
      </xdr:nvPicPr>
      <xdr:blipFill>
        <a:blip xmlns:r="http://schemas.openxmlformats.org/officeDocument/2006/relationships" r:embed="rId1"/>
        <a:stretch>
          <a:fillRect/>
        </a:stretch>
      </xdr:blipFill>
      <xdr:spPr>
        <a:xfrm>
          <a:off x="13133854" y="760"/>
          <a:ext cx="1382246" cy="13342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59</xdr:col>
      <xdr:colOff>47625</xdr:colOff>
      <xdr:row>0</xdr:row>
      <xdr:rowOff>0</xdr:rowOff>
    </xdr:from>
    <xdr:to>
      <xdr:col>62</xdr:col>
      <xdr:colOff>372596</xdr:colOff>
      <xdr:row>11</xdr:row>
      <xdr:rowOff>57872</xdr:rowOff>
    </xdr:to>
    <xdr:pic>
      <xdr:nvPicPr>
        <xdr:cNvPr id="3" name="Picture 2" descr="MadeWithMv.png"/>
        <xdr:cNvPicPr>
          <a:picLocks noChangeAspect="1"/>
        </xdr:cNvPicPr>
      </xdr:nvPicPr>
      <xdr:blipFill>
        <a:blip xmlns:r="http://schemas.openxmlformats.org/officeDocument/2006/relationships" r:embed="rId1"/>
        <a:stretch>
          <a:fillRect/>
        </a:stretch>
      </xdr:blipFill>
      <xdr:spPr>
        <a:xfrm>
          <a:off x="13134975" y="0"/>
          <a:ext cx="1382246" cy="133422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59</xdr:col>
      <xdr:colOff>47625</xdr:colOff>
      <xdr:row>0</xdr:row>
      <xdr:rowOff>0</xdr:rowOff>
    </xdr:from>
    <xdr:to>
      <xdr:col>62</xdr:col>
      <xdr:colOff>372596</xdr:colOff>
      <xdr:row>11</xdr:row>
      <xdr:rowOff>57872</xdr:rowOff>
    </xdr:to>
    <xdr:pic>
      <xdr:nvPicPr>
        <xdr:cNvPr id="3" name="Picture 2" descr="MadeWithMv.png"/>
        <xdr:cNvPicPr>
          <a:picLocks noChangeAspect="1"/>
        </xdr:cNvPicPr>
      </xdr:nvPicPr>
      <xdr:blipFill>
        <a:blip xmlns:r="http://schemas.openxmlformats.org/officeDocument/2006/relationships" r:embed="rId1"/>
        <a:stretch>
          <a:fillRect/>
        </a:stretch>
      </xdr:blipFill>
      <xdr:spPr>
        <a:xfrm>
          <a:off x="13134975" y="0"/>
          <a:ext cx="1382246" cy="133422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59</xdr:col>
      <xdr:colOff>47625</xdr:colOff>
      <xdr:row>0</xdr:row>
      <xdr:rowOff>0</xdr:rowOff>
    </xdr:from>
    <xdr:to>
      <xdr:col>62</xdr:col>
      <xdr:colOff>372596</xdr:colOff>
      <xdr:row>11</xdr:row>
      <xdr:rowOff>57872</xdr:rowOff>
    </xdr:to>
    <xdr:pic>
      <xdr:nvPicPr>
        <xdr:cNvPr id="3" name="Picture 2" descr="MadeWithMv.png"/>
        <xdr:cNvPicPr>
          <a:picLocks noChangeAspect="1"/>
        </xdr:cNvPicPr>
      </xdr:nvPicPr>
      <xdr:blipFill>
        <a:blip xmlns:r="http://schemas.openxmlformats.org/officeDocument/2006/relationships" r:embed="rId1"/>
        <a:stretch>
          <a:fillRect/>
        </a:stretch>
      </xdr:blipFill>
      <xdr:spPr>
        <a:xfrm>
          <a:off x="13134975" y="0"/>
          <a:ext cx="1382246" cy="1334222"/>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4"/>
  <sheetViews>
    <sheetView showGridLines="0" showRowColHeaders="0" topLeftCell="B1" workbookViewId="0">
      <selection activeCell="C10" sqref="C10"/>
    </sheetView>
  </sheetViews>
  <sheetFormatPr defaultRowHeight="18" x14ac:dyDescent="0.25"/>
  <cols>
    <col min="1" max="1" width="7.5703125" style="40" hidden="1" customWidth="1"/>
    <col min="2" max="2" width="31.7109375" style="40" customWidth="1"/>
    <col min="3" max="3" width="79.28515625" style="40" customWidth="1"/>
    <col min="4" max="4" width="32.42578125" style="40" customWidth="1"/>
    <col min="5" max="16384" width="9.140625" style="40"/>
  </cols>
  <sheetData>
    <row r="1" spans="1:4" ht="18.75" thickBot="1" x14ac:dyDescent="0.3">
      <c r="A1" s="40" t="s">
        <v>611</v>
      </c>
      <c r="B1" s="237" t="str">
        <f>VLOOKUP(A1,Translation!$A$1:$E$100,Data!$AP$2,FALSE)</f>
        <v>Table Settings</v>
      </c>
      <c r="C1" s="238"/>
    </row>
    <row r="2" spans="1:4" x14ac:dyDescent="0.25">
      <c r="A2" s="40" t="s">
        <v>586</v>
      </c>
      <c r="B2" s="41" t="str">
        <f>VLOOKUP(A2,Translation!$A$1:$E$100,Data!$AP$2,FALSE)</f>
        <v>Language</v>
      </c>
      <c r="C2" s="35" t="s">
        <v>616</v>
      </c>
    </row>
    <row r="3" spans="1:4" x14ac:dyDescent="0.25">
      <c r="A3" s="40" t="s">
        <v>589</v>
      </c>
      <c r="B3" s="42" t="str">
        <f>VLOOKUP(A3,Translation!$A$1:$E$100,Data!$AP$2,FALSE)</f>
        <v>Competiton Type</v>
      </c>
      <c r="C3" s="36" t="s">
        <v>562</v>
      </c>
    </row>
    <row r="4" spans="1:4" x14ac:dyDescent="0.25">
      <c r="A4" s="40" t="s">
        <v>577</v>
      </c>
      <c r="B4" s="43" t="str">
        <f>VLOOKUP(A5,Translation!$A$1:$E$100,Data!$AP$2,FALSE)</f>
        <v>Index no. (for Cup comp.)</v>
      </c>
      <c r="C4" s="37" t="s">
        <v>1134</v>
      </c>
      <c r="D4" s="44"/>
    </row>
    <row r="5" spans="1:4" x14ac:dyDescent="0.25">
      <c r="A5" s="40" t="s">
        <v>590</v>
      </c>
      <c r="B5" s="42" t="str">
        <f>VLOOKUP(A4,Translation!$A$1:$E$100,Data!$AP$2,FALSE)</f>
        <v>Competition Name</v>
      </c>
      <c r="C5" s="36" t="s">
        <v>1135</v>
      </c>
    </row>
    <row r="6" spans="1:4" x14ac:dyDescent="0.25">
      <c r="A6" s="40" t="s">
        <v>587</v>
      </c>
      <c r="B6" s="43" t="str">
        <f>VLOOKUP(A6,Translation!$A$1:$E$100,Data!$AP$2,FALSE)</f>
        <v>City (Cou.)</v>
      </c>
      <c r="C6" s="37" t="s">
        <v>1136</v>
      </c>
    </row>
    <row r="7" spans="1:4" x14ac:dyDescent="0.25">
      <c r="A7" s="40" t="s">
        <v>588</v>
      </c>
      <c r="B7" s="42" t="str">
        <f>VLOOKUP(A7,Translation!$A$1:$E$100,Data!$AP$2,FALSE)</f>
        <v>Shooting Range</v>
      </c>
      <c r="C7" s="36" t="s">
        <v>1137</v>
      </c>
    </row>
    <row r="8" spans="1:4" x14ac:dyDescent="0.25">
      <c r="A8" s="40" t="s">
        <v>591</v>
      </c>
      <c r="B8" s="43" t="str">
        <f>VLOOKUP(A8,Translation!$A$1:$E$100,Data!$AP$2,FALSE)</f>
        <v>Date</v>
      </c>
      <c r="C8" s="37" t="s">
        <v>1138</v>
      </c>
      <c r="D8" s="56"/>
    </row>
    <row r="9" spans="1:4" x14ac:dyDescent="0.25">
      <c r="A9" s="40" t="s">
        <v>665</v>
      </c>
      <c r="B9" s="42" t="str">
        <f>VLOOKUP(A9,Translation!$A$1:$E$100,Data!$AP$2,FALSE)</f>
        <v>Include Category SW</v>
      </c>
      <c r="C9" s="36" t="s">
        <v>674</v>
      </c>
    </row>
    <row r="10" spans="1:4" x14ac:dyDescent="0.25">
      <c r="A10" s="40" t="s">
        <v>850</v>
      </c>
      <c r="B10" s="43" t="str">
        <f>VLOOKUP(A10,Translation!$A$1:$E$100,Data!$AP$2,FALSE)</f>
        <v>Match Play Categories</v>
      </c>
      <c r="C10" s="37" t="s">
        <v>862</v>
      </c>
    </row>
    <row r="11" spans="1:4" ht="18.75" thickBot="1" x14ac:dyDescent="0.3">
      <c r="A11" s="40" t="s">
        <v>746</v>
      </c>
      <c r="B11" s="235" t="str">
        <f>VLOOKUP(A11,Translation!$A$1:$E$100,Data!$AP$2,FALSE)</f>
        <v>Activation Code</v>
      </c>
      <c r="C11" s="236" t="s">
        <v>755</v>
      </c>
    </row>
    <row r="12" spans="1:4" ht="24" customHeight="1" x14ac:dyDescent="0.25">
      <c r="B12" s="239" t="str">
        <f>"You can use this FCCT until "&amp;TEXT(Data!AW4,"d.m.yyyy")&amp;". Please make sure to save your table as PDF file before the expiration date. Contact Martin for purchasing a new activation code."</f>
        <v>You can use this FCCT until 19.8.yyyy. Please make sure to save your table as PDF file before the expiration date. Contact Martin for purchasing a new activation code.</v>
      </c>
      <c r="C12" s="239"/>
    </row>
    <row r="13" spans="1:4" ht="67.5" customHeight="1" x14ac:dyDescent="0.25">
      <c r="B13" s="240" t="s">
        <v>1133</v>
      </c>
      <c r="C13" s="240"/>
      <c r="D13" s="88"/>
    </row>
    <row r="14" spans="1:4" x14ac:dyDescent="0.25">
      <c r="B14" s="57"/>
      <c r="C14" s="57"/>
    </row>
  </sheetData>
  <sheetProtection password="DD79" sheet="1" objects="1" scenarios="1"/>
  <mergeCells count="3">
    <mergeCell ref="B1:C1"/>
    <mergeCell ref="B12:C12"/>
    <mergeCell ref="B13:C13"/>
  </mergeCells>
  <dataValidations xWindow="862" yWindow="360" count="5">
    <dataValidation allowBlank="1" showInputMessage="1" showErrorMessage="1" promptTitle="City" prompt="Insert the city name (and country for international competitions) where the competition is held. This will be shown on the headers of each worksheet and on back numbers provided with this table." sqref="C6"/>
    <dataValidation allowBlank="1" showInputMessage="1" showErrorMessage="1" promptTitle="Shooting Range" prompt="Insert the name of the shooting hall or range on which this competition is held. This will also be shown in the headers." sqref="C7"/>
    <dataValidation allowBlank="1" showInputMessage="1" showErrorMessage="1" promptTitle="Date" prompt="Insert the date(s) of the competition. Be mindful of the proper grammar date format of the selected language." sqref="C8"/>
    <dataValidation allowBlank="1" showInputMessage="1" showErrorMessage="1" errorTitle="Activation Code not valid" error="Inserted activation code is not valid. Contact me for purchasing your new Activation code." promptTitle="Activation Code" prompt="This is a trial version of the FCCT. This software should be available at several websites, but the activation code for using them after certain period will be available for purchase directly from me." sqref="C11"/>
    <dataValidation allowBlank="1" showInputMessage="1" showErrorMessage="1" promptTitle="Index no. for Cup Competitions" prompt="This number will appear at competition names of cups and memorials." sqref="C4"/>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xWindow="862" yWindow="360" count="15">
        <x14:dataValidation type="list" allowBlank="1" showInputMessage="1" showErrorMessage="1" promptTitle="Language" prompt="Change the language of the competition table. Make sure to use the abbreviations of categories for the selected language as it may cause visual errors.">
          <x14:formula1>
            <xm:f>Data!$AQ$2:$AQ$5</xm:f>
          </x14:formula1>
          <xm:sqref>C2</xm:sqref>
        </x14:dataValidation>
        <x14:dataValidation type="list" allowBlank="1" showInputMessage="1" showErrorMessage="1" promptTitle="Competition type" prompt="This changes the funcionality of the table._x000a_Field - Insert total score and number of 10 and R10 for each distance._x000a_Indoor - Insert 5 series of 6 shots and number of 10 only at the end">
          <x14:formula1>
            <xm:f>Data!$AT$4:$AT$5</xm:f>
          </x14:formula1>
          <xm:sqref>C3</xm:sqref>
        </x14:dataValidation>
        <x14:dataValidation type="list" allowBlank="1" showInputMessage="1" showErrorMessage="1" promptTitle="Competition Name" prompt="This is a list of competitions which are currently supported with this FCCT table. If you are interested about getting your competition on the list, contact me.">
          <x14:formula1>
            <xm:f>Data!$AQ$9:$AQ$16</xm:f>
          </x14:formula1>
          <xm:sqref>C5</xm:sqref>
        </x14:dataValidation>
        <x14:dataValidation type="list" allowBlank="1" showInputMessage="1" showErrorMessage="1" promptTitle="Include Category SW" prompt="With this enabled, you can have category senior women at your competition, but when senior women category is not available, all athletes from the senior women category should compete as seniors (both genders). In that case use the abbreviation &quot;S&quot;.">
          <x14:formula1>
            <xm:f>Data!$AU$2:$AU$3</xm:f>
          </x14:formula1>
          <xm:sqref>C9</xm:sqref>
        </x14:dataValidation>
        <x14:dataValidation type="list" allowBlank="1" showInputMessage="1" showErrorMessage="1" promptTitle="Match Play Categories" prompt="Selecting All Categories will allow regular Match Play._x000a_Selecting Men-Women will allow young shooters and seniors to compete in categories Men and Women._x000a_Selecting Absolute will allow all shooters to compete in one category.">
          <x14:formula1>
            <xm:f>Data!$AU$6:$AU$8</xm:f>
          </x14:formula1>
          <xm:sqref>C10</xm:sqref>
        </x14:dataValidation>
        <x14:dataValidation type="list" allowBlank="1" showInputMessage="1" showErrorMessage="1" errorTitle="Competition not available" error="The competition you entered here is not available. Contact Martin for more information." promptTitle="Competition Name" prompt="_x000a_Choose a competition from the following list. List changes with the selected language._x000a__x000a_Contact Martin if your competition is not on the list.">
          <x14:formula1>
            <xm:f>Data!$AQ$9:$AQ$16</xm:f>
          </x14:formula1>
          <xm:sqref>C5</xm:sqref>
        </x14:dataValidation>
        <x14:dataValidation type="list" allowBlank="1" showInputMessage="1" showErrorMessage="1" promptTitle="Language Settings" prompt="_x000a_Change the language settings to Croatian, Czech, English or German. Support for other languages may be added in the future.">
          <x14:formula1>
            <xm:f>Data!$AQ$2:$AQ$5</xm:f>
          </x14:formula1>
          <xm:sqref>C2</xm:sqref>
        </x14:dataValidation>
        <x14:dataValidation type="list" allowBlank="1" showInputMessage="1" showErrorMessage="1" promptTitle="Competition Type Settings" prompt="_x000a_Changes the input and display funcionality of Start list, By Category and Absolute sheets._x000a__x000a_Indoor - 5 series of 6 shots for each IR300. Tens must be added manually at the end._x000a__x000a_Field - Each distance (65m, 50m, 35m) with R10 and tens for each distance">
          <x14:formula1>
            <xm:f>Data!$AT$4:$AT$5</xm:f>
          </x14:formula1>
          <xm:sqref>C3</xm:sqref>
        </x14:dataValidation>
        <x14:dataValidation type="list" allowBlank="1" showInputMessage="1" showErrorMessage="1" promptTitle="Include category Senior Women" prompt="_x000a_If you don't have category Senior Women on your competition, disabling this option allows both senior categories to be combined Seniors (both genders).">
          <x14:formula1>
            <xm:f>Data!$AU$2:$AU$3</xm:f>
          </x14:formula1>
          <xm:sqref>C9</xm:sqref>
        </x14:dataValidation>
        <x14:dataValidation type="list" allowBlank="1" showInputMessage="1" showErrorMessage="1" promptTitle="Match Play Categories" prompt="_x000a_Enables the option of Match Play only in Men/Women categories while enabling first day competition to be by category. (Croatia/Bohemia 2020)_x000a_There is also an option to have all shooters in one absolute category for Match Play Competitions (Europa Cup)">
          <x14:formula1>
            <xm:f>Data!$AU$6:$AU$8</xm:f>
          </x14:formula1>
          <xm:sqref>C10</xm:sqref>
        </x14:dataValidation>
        <x14:dataValidation type="list" allowBlank="1" showInputMessage="1" showErrorMessage="1">
          <x14:formula1>
            <xm:f>Data!$AU$6:$AU$8</xm:f>
          </x14:formula1>
          <xm:sqref>C10</xm:sqref>
        </x14:dataValidation>
        <x14:dataValidation type="list" allowBlank="1" showInputMessage="1" showErrorMessage="1">
          <x14:formula1>
            <xm:f>Data!AQ2:AQ5</xm:f>
          </x14:formula1>
          <xm:sqref>C2</xm:sqref>
        </x14:dataValidation>
        <x14:dataValidation type="list" allowBlank="1" showInputMessage="1" showErrorMessage="1">
          <x14:formula1>
            <xm:f>Data!AT4:AT5</xm:f>
          </x14:formula1>
          <xm:sqref>C3</xm:sqref>
        </x14:dataValidation>
        <x14:dataValidation type="list" allowBlank="1" showInputMessage="1" showErrorMessage="1">
          <x14:formula1>
            <xm:f>Data!AQ9:AQ16</xm:f>
          </x14:formula1>
          <xm:sqref>C5</xm:sqref>
        </x14:dataValidation>
        <x14:dataValidation type="list" allowBlank="1" showInputMessage="1" showErrorMessage="1">
          <x14:formula1>
            <xm:f>Data!AU2:AU3</xm:f>
          </x14:formula1>
          <xm:sqref>C9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T163"/>
  <sheetViews>
    <sheetView showGridLines="0" showRowColHeaders="0" zoomScaleSheetLayoutView="85" workbookViewId="0">
      <selection activeCell="AU24" sqref="AU24:AU25"/>
    </sheetView>
  </sheetViews>
  <sheetFormatPr defaultColWidth="7.5703125" defaultRowHeight="6.75" customHeight="1" x14ac:dyDescent="0.2"/>
  <cols>
    <col min="1" max="1" width="5.7109375" style="7" customWidth="1"/>
    <col min="2" max="6" width="5.28515625" style="4" customWidth="1"/>
    <col min="7" max="11" width="3.7109375" style="4" hidden="1" customWidth="1"/>
    <col min="12" max="12" width="5.7109375" style="3" customWidth="1"/>
    <col min="13" max="14" width="4.28515625" style="7" customWidth="1"/>
    <col min="15" max="15" width="5.7109375" style="3" customWidth="1"/>
    <col min="16" max="20" width="5.28515625" style="7" customWidth="1"/>
    <col min="21" max="25" width="3.7109375" style="7" hidden="1" customWidth="1"/>
    <col min="26" max="26" width="5.7109375" style="7" customWidth="1"/>
    <col min="27" max="28" width="4.28515625" style="7" customWidth="1"/>
    <col min="29" max="29" width="5.7109375" style="7" customWidth="1"/>
    <col min="30" max="34" width="5.28515625" style="7" customWidth="1"/>
    <col min="35" max="39" width="3.7109375" style="7" hidden="1" customWidth="1"/>
    <col min="40" max="40" width="5.7109375" style="7" customWidth="1"/>
    <col min="41" max="42" width="2.85546875" style="7" customWidth="1"/>
    <col min="43" max="43" width="5.7109375" style="7" customWidth="1"/>
    <col min="44" max="48" width="5.28515625" style="7" customWidth="1"/>
    <col min="49" max="53" width="0" style="7" hidden="1" customWidth="1"/>
    <col min="54" max="54" width="5.7109375" style="7" customWidth="1"/>
    <col min="55" max="56" width="2.85546875" style="7" customWidth="1"/>
    <col min="57" max="57" width="5.7109375" style="7" customWidth="1"/>
    <col min="58" max="62" width="5.28515625" style="7" customWidth="1"/>
    <col min="63" max="63" width="5.7109375" style="7" customWidth="1"/>
    <col min="64" max="64" width="7.5703125" style="7"/>
    <col min="65" max="65" width="3" style="7" hidden="1" customWidth="1"/>
    <col min="66" max="67" width="3.5703125" style="7" hidden="1" customWidth="1"/>
    <col min="68" max="70" width="5.140625" style="7" hidden="1" customWidth="1"/>
    <col min="71" max="71" width="3.5703125" style="7" hidden="1" customWidth="1"/>
    <col min="72" max="72" width="3" style="7" hidden="1" customWidth="1"/>
    <col min="73" max="16384" width="7.5703125" style="7"/>
  </cols>
  <sheetData>
    <row r="1" spans="1:63" s="6" customFormat="1" ht="15" customHeight="1" x14ac:dyDescent="0.25">
      <c r="A1" s="253" t="str">
        <f>'Start List'!A1</f>
        <v>22. BOHEMIA CUP - CROSSBOW FIELD</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row>
    <row r="2" spans="1:63" s="21" customFormat="1" ht="15" customHeight="1" x14ac:dyDescent="0.25">
      <c r="A2" s="253" t="str">
        <f>'Start List'!A2</f>
        <v>Nový Stadion, TJ Jiskra, Otrokovice</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row>
    <row r="3" spans="1:63" s="21" customFormat="1" ht="15" customHeight="1" x14ac:dyDescent="0.25">
      <c r="A3" s="253" t="str">
        <f>'Start List'!A3</f>
        <v>14.-16. August 2020</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row>
    <row r="4" spans="1:63" s="21" customFormat="1" ht="15" customHeight="1" x14ac:dyDescent="0.25">
      <c r="A4" s="253" t="str">
        <f>"Match Play - "&amp;SUBSTITUTE(A5,"  ","")</f>
        <v>Match Play - Women</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row>
    <row r="5" spans="1:63" s="21" customFormat="1" ht="15" hidden="1" customHeight="1" x14ac:dyDescent="0.25">
      <c r="A5" s="253" t="str">
        <f>VLOOKUP(Data!$AJ$3,Data!$AJ$2:$AK$7,2,FALSE)</f>
        <v>Women</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row>
    <row r="6" spans="1:63" s="6" customFormat="1" ht="6.75" customHeight="1" thickBo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8"/>
      <c r="AI6" s="29"/>
    </row>
    <row r="7" spans="1:63" s="1" customFormat="1" ht="6.75" customHeight="1" x14ac:dyDescent="0.2">
      <c r="A7" s="254">
        <v>1</v>
      </c>
      <c r="B7" s="255" t="str">
        <f ca="1">IF(A7=" "," ",IFERROR(VLOOKUP(LARGE(INDIRECT(VLOOKUP($A$5,'Start List'!$J$9:$Q$14,Data!AP6+4,FALSE)),A7),'Start List'!$B$15:$V$139,3,FALSE),"bye to the next round"))</f>
        <v>Pereglin Valentina</v>
      </c>
      <c r="C7" s="256"/>
      <c r="D7" s="256"/>
      <c r="E7" s="256"/>
      <c r="F7" s="256"/>
      <c r="G7" s="256"/>
      <c r="H7" s="256"/>
      <c r="I7" s="256"/>
      <c r="J7" s="256"/>
      <c r="K7" s="257"/>
      <c r="L7" s="261" t="str">
        <f ca="1">IFERROR(VLOOKUP(LARGE(INDIRECT(VLOOKUP($A$5,'Start List'!$J$9:$Q$14,Data!AP6+4,FALSE)),Women!A7),'Start List'!$B$15:$V$139,7,FALSE)," ")</f>
        <v xml:space="preserve"> </v>
      </c>
      <c r="M7" s="2"/>
      <c r="N7" s="5"/>
      <c r="O7" s="11"/>
    </row>
    <row r="8" spans="1:63" ht="6.75" customHeight="1" thickBot="1" x14ac:dyDescent="0.25">
      <c r="A8" s="254"/>
      <c r="B8" s="258"/>
      <c r="C8" s="259"/>
      <c r="D8" s="259"/>
      <c r="E8" s="259"/>
      <c r="F8" s="259"/>
      <c r="G8" s="259"/>
      <c r="H8" s="259"/>
      <c r="I8" s="259"/>
      <c r="J8" s="259"/>
      <c r="K8" s="260"/>
      <c r="L8" s="262"/>
      <c r="M8" s="14"/>
    </row>
    <row r="9" spans="1:63" ht="6.75" customHeight="1" thickBot="1" x14ac:dyDescent="0.25">
      <c r="A9" s="263">
        <f ca="1">VLOOKUP(VLOOKUP($A$5,'Start List'!$J$9:$Q$14,8,FALSE)&amp;A7,Data!$D$2:$H$97,2,FALSE)</f>
        <v>18</v>
      </c>
      <c r="B9" s="274"/>
      <c r="C9" s="271"/>
      <c r="D9" s="271"/>
      <c r="E9" s="271"/>
      <c r="F9" s="271"/>
      <c r="G9" s="268">
        <f>IF(B9&gt;B11,2,IF(AND(B11=B9,B9&gt;0),1,0))</f>
        <v>0</v>
      </c>
      <c r="H9" s="268">
        <f>IF(C9&gt;C11,2,IF(AND(C11=C9,C9&gt;0),1,0))</f>
        <v>0</v>
      </c>
      <c r="I9" s="268">
        <f>IF(D9&gt;D11,2,IF(AND(D11=D9,D9&gt;0),1,0))</f>
        <v>0</v>
      </c>
      <c r="J9" s="268">
        <f>IF(E9&gt;E11,2,IF(AND(E11=E9,E9&gt;0),1,0))</f>
        <v>0</v>
      </c>
      <c r="K9" s="268">
        <f>IF(F9&gt;F11,2,IF(AND(F11=F9,F9&gt;0),1,0))</f>
        <v>0</v>
      </c>
      <c r="L9" s="272">
        <f>SUM(G9:K10)</f>
        <v>0</v>
      </c>
      <c r="M9" s="9"/>
    </row>
    <row r="10" spans="1:63" ht="6.75" customHeight="1" x14ac:dyDescent="0.2">
      <c r="A10" s="263"/>
      <c r="B10" s="264"/>
      <c r="C10" s="266"/>
      <c r="D10" s="266"/>
      <c r="E10" s="266"/>
      <c r="F10" s="266"/>
      <c r="G10" s="269"/>
      <c r="H10" s="269"/>
      <c r="I10" s="269"/>
      <c r="J10" s="269"/>
      <c r="K10" s="269"/>
      <c r="L10" s="273"/>
      <c r="M10" s="15"/>
      <c r="O10" s="254">
        <f ca="1">IF(B13="bye to the next round",A7,IF(AND(L9&gt;L11,L9&gt;4),A7,IF(AND(L11&gt;L9,L11&gt;4),A13,IF(AND(L9=5,L11=5),MIN(A7,A13)," "))))</f>
        <v>1</v>
      </c>
      <c r="P10" s="255" t="str">
        <f ca="1">IF(O10=" "," ",IFERROR(VLOOKUP(LARGE(INDIRECT(VLOOKUP($A$5,'Start List'!$J$9:$Q$14,Data!AP6+4,FALSE)),O10),'Start List'!$B$15:$V$139,3,FALSE),"bye to the next round"))</f>
        <v>Pereglin Valentina</v>
      </c>
      <c r="Q10" s="256"/>
      <c r="R10" s="256"/>
      <c r="S10" s="256"/>
      <c r="T10" s="256"/>
      <c r="U10" s="256"/>
      <c r="V10" s="256"/>
      <c r="W10" s="256"/>
      <c r="X10" s="256"/>
      <c r="Y10" s="257"/>
      <c r="Z10" s="261" t="str">
        <f ca="1">IFERROR(VLOOKUP(LARGE(INDIRECT(VLOOKUP($A$5,'Start List'!$J$9:$Q$14,Data!AP6+4,FALSE)),Women!O10),'Start List'!$B$15:$V$139,7,FALSE)," ")</f>
        <v xml:space="preserve"> </v>
      </c>
      <c r="AA10" s="16"/>
    </row>
    <row r="11" spans="1:63" ht="6.75" customHeight="1" thickBot="1" x14ac:dyDescent="0.25">
      <c r="A11" s="263" t="str">
        <f>VLOOKUP(VLOOKUP($A$5,'Start List'!$J$9:$Q$14,8,FALSE)&amp;A13,Data!$D$2:$H$97,2,FALSE)</f>
        <v/>
      </c>
      <c r="B11" s="264"/>
      <c r="C11" s="266"/>
      <c r="D11" s="266"/>
      <c r="E11" s="266"/>
      <c r="F11" s="266"/>
      <c r="G11" s="268">
        <f>IF(B9&lt;B11,2,IF(AND(B11=B9,B11&gt;0),1,0))</f>
        <v>0</v>
      </c>
      <c r="H11" s="268">
        <f>IF(C9&lt;C11,2,IF(AND(C11=C9,C11&gt;0),1,0))</f>
        <v>0</v>
      </c>
      <c r="I11" s="268">
        <f>IF(D9&lt;D11,2,IF(AND(D11=D9,D11&gt;0),1,0))</f>
        <v>0</v>
      </c>
      <c r="J11" s="268">
        <f>IF(E9&lt;E11,2,IF(AND(E11=E9,E11&gt;0),1,0))</f>
        <v>0</v>
      </c>
      <c r="K11" s="268">
        <f>IF(F9&lt;F11,2,IF(AND(F11=F9,F11&gt;0),1,0))</f>
        <v>0</v>
      </c>
      <c r="L11" s="272">
        <f>SUM(G11:K12)</f>
        <v>0</v>
      </c>
      <c r="M11" s="15"/>
      <c r="N11" s="10"/>
      <c r="O11" s="254"/>
      <c r="P11" s="258"/>
      <c r="Q11" s="259"/>
      <c r="R11" s="259"/>
      <c r="S11" s="259"/>
      <c r="T11" s="259"/>
      <c r="U11" s="259"/>
      <c r="V11" s="259"/>
      <c r="W11" s="259"/>
      <c r="X11" s="259"/>
      <c r="Y11" s="260"/>
      <c r="Z11" s="262"/>
      <c r="AA11" s="12"/>
    </row>
    <row r="12" spans="1:63" ht="6.75" customHeight="1" thickBot="1" x14ac:dyDescent="0.25">
      <c r="A12" s="263"/>
      <c r="B12" s="265"/>
      <c r="C12" s="267"/>
      <c r="D12" s="267"/>
      <c r="E12" s="267"/>
      <c r="F12" s="267"/>
      <c r="G12" s="269"/>
      <c r="H12" s="269"/>
      <c r="I12" s="269"/>
      <c r="J12" s="269"/>
      <c r="K12" s="269"/>
      <c r="L12" s="273"/>
      <c r="M12" s="15"/>
      <c r="O12" s="7"/>
      <c r="AA12" s="9"/>
    </row>
    <row r="13" spans="1:63" ht="6.75" customHeight="1" x14ac:dyDescent="0.2">
      <c r="A13" s="254">
        <v>16</v>
      </c>
      <c r="B13" s="255" t="str">
        <f ca="1">IF(A13=" "," ",IFERROR(VLOOKUP(LARGE(INDIRECT(VLOOKUP($A$5,'Start List'!$J$9:$Q$14,Data!AP6+4,FALSE)),A13),'Start List'!$B$15:$V$139,3,FALSE),"bye to the next round"))</f>
        <v>bye to the next round</v>
      </c>
      <c r="C13" s="256"/>
      <c r="D13" s="256"/>
      <c r="E13" s="256"/>
      <c r="F13" s="256"/>
      <c r="G13" s="256"/>
      <c r="H13" s="256"/>
      <c r="I13" s="256"/>
      <c r="J13" s="256"/>
      <c r="K13" s="257"/>
      <c r="L13" s="261" t="str">
        <f ca="1">IFERROR(VLOOKUP(LARGE(INDIRECT(VLOOKUP($A$5,'Start List'!$J$9:$Q$14,Data!AP6+4,FALSE)),Women!A13),'Start List'!$B$15:$V$139,7,FALSE)," ")</f>
        <v xml:space="preserve"> </v>
      </c>
      <c r="M13" s="8"/>
      <c r="O13" s="7"/>
      <c r="AA13" s="9"/>
    </row>
    <row r="14" spans="1:63" ht="6.75" customHeight="1" thickBot="1" x14ac:dyDescent="0.25">
      <c r="A14" s="254"/>
      <c r="B14" s="258"/>
      <c r="C14" s="259"/>
      <c r="D14" s="259"/>
      <c r="E14" s="259"/>
      <c r="F14" s="259"/>
      <c r="G14" s="259"/>
      <c r="H14" s="259"/>
      <c r="I14" s="259"/>
      <c r="J14" s="259"/>
      <c r="K14" s="260"/>
      <c r="L14" s="262"/>
      <c r="M14" s="13"/>
      <c r="O14" s="263">
        <f ca="1">VLOOKUP(VLOOKUP($A$5,'Start List'!$J$9:$Q$14,8,FALSE)&amp;A7,Data!$D$2:$H$97,3,FALSE)</f>
        <v>10</v>
      </c>
      <c r="P14" s="264">
        <v>30</v>
      </c>
      <c r="Q14" s="266">
        <v>28</v>
      </c>
      <c r="R14" s="266">
        <v>30</v>
      </c>
      <c r="S14" s="266">
        <v>30</v>
      </c>
      <c r="T14" s="266"/>
      <c r="U14" s="269">
        <f>IF(P14&gt;P16,2,IF(AND(P16=P14,P14&gt;0),1,0))</f>
        <v>2</v>
      </c>
      <c r="V14" s="269">
        <f>IF(Q14&gt;Q16,2,IF(AND(Q16=Q14,Q14&gt;0),1,0))</f>
        <v>0</v>
      </c>
      <c r="W14" s="269">
        <f>IF(R14&gt;R16,2,IF(AND(R16=R14,R14&gt;0),1,0))</f>
        <v>2</v>
      </c>
      <c r="X14" s="269">
        <f>IF(S14&gt;S16,2,IF(AND(S16=S14,S14&gt;0),1,0))</f>
        <v>2</v>
      </c>
      <c r="Y14" s="269">
        <f>IF(T14&gt;T16,2,IF(AND(T16=T14,T14&gt;0),1,0))</f>
        <v>0</v>
      </c>
      <c r="Z14" s="277">
        <f>SUM(U14:Y15)</f>
        <v>6</v>
      </c>
      <c r="AA14" s="9"/>
    </row>
    <row r="15" spans="1:63" ht="6.75" customHeight="1" x14ac:dyDescent="0.2">
      <c r="A15" s="30"/>
      <c r="O15" s="263"/>
      <c r="P15" s="264"/>
      <c r="Q15" s="266"/>
      <c r="R15" s="266"/>
      <c r="S15" s="266"/>
      <c r="T15" s="266"/>
      <c r="U15" s="269"/>
      <c r="V15" s="269"/>
      <c r="W15" s="269"/>
      <c r="X15" s="269"/>
      <c r="Y15" s="269"/>
      <c r="Z15" s="277"/>
      <c r="AA15" s="9"/>
      <c r="AC15" s="254">
        <f ca="1">IF(P20="bye to the next round",O10,IF(AND(Z14&gt;Z16,Z14&gt;4),O10,IF(AND(Z16&gt;Z14,Z16&gt;4),O20,IF(AND(Z14=5,Z16=5),MIN(O10,O20)," "))))</f>
        <v>1</v>
      </c>
      <c r="AD15" s="255" t="str">
        <f ca="1">IF(AC15=" "," ",IFERROR(VLOOKUP(LARGE(INDIRECT(VLOOKUP($A$5,'Start List'!$J$9:$Q$14,Data!AP6+4,FALSE)),AC15),'Start List'!$B$15:$V$139,3,FALSE),"bye to the next round"))</f>
        <v>Pereglin Valentina</v>
      </c>
      <c r="AE15" s="256"/>
      <c r="AF15" s="256"/>
      <c r="AG15" s="256"/>
      <c r="AH15" s="256"/>
      <c r="AI15" s="256"/>
      <c r="AJ15" s="256"/>
      <c r="AK15" s="256"/>
      <c r="AL15" s="256"/>
      <c r="AM15" s="257"/>
      <c r="AN15" s="275" t="str">
        <f ca="1">IFERROR(VLOOKUP(LARGE(INDIRECT(VLOOKUP($A$5,'Start List'!$J$9:$Q$14,Data!AP6+4,FALSE)),Women!AC15),'Start List'!$B$15:$V$139,7,FALSE)," ")</f>
        <v xml:space="preserve"> </v>
      </c>
    </row>
    <row r="16" spans="1:63" ht="6.75" customHeight="1" thickBot="1" x14ac:dyDescent="0.25">
      <c r="A16" s="29"/>
      <c r="B16" s="29"/>
      <c r="C16" s="29"/>
      <c r="D16" s="29"/>
      <c r="E16" s="29"/>
      <c r="F16" s="29"/>
      <c r="G16" s="29"/>
      <c r="H16" s="29"/>
      <c r="I16" s="29"/>
      <c r="J16" s="29"/>
      <c r="K16" s="29"/>
      <c r="L16" s="29"/>
      <c r="M16" s="29"/>
      <c r="N16" s="29"/>
      <c r="O16" s="263">
        <f ca="1">VLOOKUP(VLOOKUP($A$5,'Start List'!$J$9:$Q$14,8,FALSE)&amp;A23,Data!$D$2:$H$97,3,FALSE)</f>
        <v>11</v>
      </c>
      <c r="P16" s="264">
        <v>26</v>
      </c>
      <c r="Q16" s="266">
        <v>29</v>
      </c>
      <c r="R16" s="266">
        <v>28</v>
      </c>
      <c r="S16" s="266">
        <v>29</v>
      </c>
      <c r="T16" s="266"/>
      <c r="U16" s="269">
        <f>IF(P14&lt;P16,2,IF(AND(P16=P14,P16&gt;0),1,0))</f>
        <v>0</v>
      </c>
      <c r="V16" s="269">
        <f>IF(Q14&lt;Q16,2,IF(AND(Q16=Q14,Q16&gt;0),1,0))</f>
        <v>2</v>
      </c>
      <c r="W16" s="269">
        <f>IF(R14&lt;R16,2,IF(AND(R16=R14,R16&gt;0),1,0))</f>
        <v>0</v>
      </c>
      <c r="X16" s="269">
        <f>IF(S14&lt;S16,2,IF(AND(S16=S14,S16&gt;0),1,0))</f>
        <v>0</v>
      </c>
      <c r="Y16" s="269">
        <f>IF(T14&lt;T16,2,IF(AND(T16=T14,T16&gt;0),1,0))</f>
        <v>0</v>
      </c>
      <c r="Z16" s="277">
        <f>SUM(U16:Y17)</f>
        <v>2</v>
      </c>
      <c r="AA16" s="17"/>
      <c r="AB16" s="19"/>
      <c r="AC16" s="254"/>
      <c r="AD16" s="258"/>
      <c r="AE16" s="259"/>
      <c r="AF16" s="259"/>
      <c r="AG16" s="259"/>
      <c r="AH16" s="259"/>
      <c r="AI16" s="259"/>
      <c r="AJ16" s="259"/>
      <c r="AK16" s="259"/>
      <c r="AL16" s="259"/>
      <c r="AM16" s="260"/>
      <c r="AN16" s="276"/>
      <c r="AO16" s="14"/>
    </row>
    <row r="17" spans="1:63" ht="6.75" customHeight="1" x14ac:dyDescent="0.2">
      <c r="A17" s="254">
        <v>8</v>
      </c>
      <c r="B17" s="255" t="str">
        <f ca="1">IF(A17=" "," ",IFERROR(VLOOKUP(LARGE(INDIRECT(VLOOKUP($A$5,'Start List'!$J$9:$Q$14,Data!AP6+4,FALSE)),A17),'Start List'!$B$15:$V$139,3,FALSE),"bye to the next round"))</f>
        <v>Bihariné Gábriel Emese</v>
      </c>
      <c r="C17" s="256"/>
      <c r="D17" s="256"/>
      <c r="E17" s="256"/>
      <c r="F17" s="256"/>
      <c r="G17" s="256"/>
      <c r="H17" s="256"/>
      <c r="I17" s="256"/>
      <c r="J17" s="256"/>
      <c r="K17" s="257"/>
      <c r="L17" s="261" t="str">
        <f ca="1">IFERROR(VLOOKUP(LARGE(INDIRECT(VLOOKUP($A$5,'Start List'!$J$9:$Q$14,Data!AP6+4,FALSE)),Women!A17),'Start List'!$B$15:$V$139,7,FALSE)," ")</f>
        <v xml:space="preserve"> </v>
      </c>
      <c r="M17" s="2"/>
      <c r="N17" s="5"/>
      <c r="O17" s="263"/>
      <c r="P17" s="264"/>
      <c r="Q17" s="266"/>
      <c r="R17" s="266"/>
      <c r="S17" s="266"/>
      <c r="T17" s="266"/>
      <c r="U17" s="269"/>
      <c r="V17" s="269"/>
      <c r="W17" s="269"/>
      <c r="X17" s="269"/>
      <c r="Y17" s="269"/>
      <c r="Z17" s="277"/>
      <c r="AA17" s="18"/>
      <c r="AB17" s="1"/>
      <c r="AO17" s="9"/>
      <c r="AQ17" s="278" t="str">
        <f>VLOOKUP("GMM",Translation!$A$1:$E$57,Data!$AP$2,FALSE)</f>
        <v>Gold Medal Match</v>
      </c>
      <c r="AR17" s="278"/>
      <c r="AS17" s="278"/>
      <c r="AT17" s="278"/>
      <c r="AU17" s="278"/>
      <c r="AV17" s="278"/>
      <c r="AW17" s="278"/>
      <c r="AX17" s="278"/>
      <c r="AY17" s="278"/>
      <c r="AZ17" s="278"/>
      <c r="BA17" s="278"/>
      <c r="BB17" s="278"/>
    </row>
    <row r="18" spans="1:63" ht="6.75" customHeight="1" thickBot="1" x14ac:dyDescent="0.25">
      <c r="A18" s="270"/>
      <c r="B18" s="258"/>
      <c r="C18" s="259"/>
      <c r="D18" s="259"/>
      <c r="E18" s="259"/>
      <c r="F18" s="259"/>
      <c r="G18" s="259"/>
      <c r="H18" s="259"/>
      <c r="I18" s="259"/>
      <c r="J18" s="259"/>
      <c r="K18" s="260"/>
      <c r="L18" s="262"/>
      <c r="M18" s="14"/>
      <c r="AA18" s="9"/>
      <c r="AO18" s="9"/>
      <c r="AQ18" s="278"/>
      <c r="AR18" s="278"/>
      <c r="AS18" s="278"/>
      <c r="AT18" s="278"/>
      <c r="AU18" s="278"/>
      <c r="AV18" s="278"/>
      <c r="AW18" s="278"/>
      <c r="AX18" s="278"/>
      <c r="AY18" s="278"/>
      <c r="AZ18" s="278"/>
      <c r="BA18" s="278"/>
      <c r="BB18" s="278"/>
    </row>
    <row r="19" spans="1:63" ht="6.75" customHeight="1" thickBot="1" x14ac:dyDescent="0.25">
      <c r="A19" s="263">
        <f ca="1">VLOOKUP(VLOOKUP($A$5,'Start List'!$J$9:$Q$14,8,FALSE)&amp;A17,Data!$D$2:$H$97,2,FALSE)</f>
        <v>19</v>
      </c>
      <c r="B19" s="274">
        <v>28</v>
      </c>
      <c r="C19" s="271">
        <v>26</v>
      </c>
      <c r="D19" s="271">
        <v>28</v>
      </c>
      <c r="E19" s="271"/>
      <c r="F19" s="271"/>
      <c r="G19" s="268">
        <f>IF(B19&gt;B21,2,IF(AND(B21=B19,B19&gt;0),1,0))</f>
        <v>2</v>
      </c>
      <c r="H19" s="268">
        <f>IF(C19&gt;C21,2,IF(AND(C21=C19,C19&gt;0),1,0))</f>
        <v>1</v>
      </c>
      <c r="I19" s="268">
        <f>IF(D19&gt;D21,2,IF(AND(D21=D19,D19&gt;0),1,0))</f>
        <v>2</v>
      </c>
      <c r="J19" s="268">
        <f>IF(E19&gt;E21,2,IF(AND(E21=E19,E19&gt;0),1,0))</f>
        <v>0</v>
      </c>
      <c r="K19" s="268">
        <f>IF(F19&gt;F21,2,IF(AND(F21=F19,F19&gt;0),1,0))</f>
        <v>0</v>
      </c>
      <c r="L19" s="272">
        <f>SUM(G19:K20)</f>
        <v>5</v>
      </c>
      <c r="M19" s="9"/>
      <c r="AA19" s="9"/>
      <c r="AO19" s="9"/>
    </row>
    <row r="20" spans="1:63" ht="6.75" customHeight="1" x14ac:dyDescent="0.2">
      <c r="A20" s="263"/>
      <c r="B20" s="264"/>
      <c r="C20" s="266"/>
      <c r="D20" s="266"/>
      <c r="E20" s="266"/>
      <c r="F20" s="266"/>
      <c r="G20" s="269"/>
      <c r="H20" s="269"/>
      <c r="I20" s="269"/>
      <c r="J20" s="269"/>
      <c r="K20" s="269"/>
      <c r="L20" s="273"/>
      <c r="M20" s="15"/>
      <c r="O20" s="254">
        <f ca="1">IF(B23="bye to the next round",A17,IF(AND(L19&gt;L21,L19&gt;4),A17,IF(AND(L21&gt;L19,L21&gt;4),A23,IF(AND(L19=5,L21=5),MIN(A17,A23)," "))))</f>
        <v>8</v>
      </c>
      <c r="P20" s="255" t="str">
        <f ca="1">IF(O20=" "," ",IFERROR(VLOOKUP(LARGE(INDIRECT(VLOOKUP($A$5,'Start List'!$J$9:$Q$14,Data!AP6+4,FALSE)),O20),'Start List'!$B$15:$V$139,3,FALSE),"bye to the next round"))</f>
        <v>Bihariné Gábriel Emese</v>
      </c>
      <c r="Q20" s="256"/>
      <c r="R20" s="256"/>
      <c r="S20" s="256"/>
      <c r="T20" s="256"/>
      <c r="U20" s="256"/>
      <c r="V20" s="256"/>
      <c r="W20" s="256"/>
      <c r="X20" s="256"/>
      <c r="Y20" s="257"/>
      <c r="Z20" s="261" t="str">
        <f ca="1">IFERROR(VLOOKUP(LARGE(INDIRECT(VLOOKUP($A$5,'Start List'!$J$9:$Q$14,Data!AP6+4,FALSE)),Women!O20),'Start List'!$B$15:$V$139,7,FALSE)," ")</f>
        <v xml:space="preserve"> </v>
      </c>
      <c r="AA20" s="8"/>
      <c r="AO20" s="9"/>
      <c r="AQ20" s="254">
        <f ca="1">IF(AND(AN24&gt;AN26,AN24&gt;4),AC15,IF(AND(AN26&gt;AN24,AN26&gt;4),AC35,IF(AND(AN24=5,AN26=5),MIN(AC15,AC35)," ")))</f>
        <v>1</v>
      </c>
      <c r="AR20" s="255" t="str">
        <f ca="1">IF(AQ20=" "," ",IFERROR(VLOOKUP(LARGE(INDIRECT(VLOOKUP($A$5,'Start List'!$J$9:$Q$14,Data!AP6+4,FALSE)),AQ20),'Start List'!$B$15:$V$139,3,FALSE),"bye to the next round"))</f>
        <v>Pereglin Valentina</v>
      </c>
      <c r="AS20" s="256"/>
      <c r="AT20" s="256"/>
      <c r="AU20" s="256"/>
      <c r="AV20" s="256"/>
      <c r="AW20" s="256"/>
      <c r="AX20" s="256"/>
      <c r="AY20" s="256"/>
      <c r="AZ20" s="256"/>
      <c r="BA20" s="257"/>
      <c r="BB20" s="261" t="str">
        <f ca="1">IFERROR(VLOOKUP(LARGE(INDIRECT(VLOOKUP($A$5,'Start List'!$J$9:$Q$14,Data!AP6+4,FALSE)),Women!AQ20),'Start List'!$B$15:$V$139,7,FALSE)," ")</f>
        <v xml:space="preserve"> </v>
      </c>
    </row>
    <row r="21" spans="1:63" ht="6.75" customHeight="1" thickBot="1" x14ac:dyDescent="0.25">
      <c r="A21" s="263">
        <f ca="1">VLOOKUP(VLOOKUP($A$5,'Start List'!$J$9:$Q$14,8,FALSE)&amp;A23,Data!$D$2:$H$97,2,FALSE)</f>
        <v>20</v>
      </c>
      <c r="B21" s="264">
        <v>26</v>
      </c>
      <c r="C21" s="266">
        <v>26</v>
      </c>
      <c r="D21" s="266">
        <v>26</v>
      </c>
      <c r="E21" s="266"/>
      <c r="F21" s="266"/>
      <c r="G21" s="268">
        <f>IF(B19&lt;B21,2,IF(AND(B21=B19,B21&gt;0),1,0))</f>
        <v>0</v>
      </c>
      <c r="H21" s="268">
        <f>IF(C19&lt;C21,2,IF(AND(C21=C19,C21&gt;0),1,0))</f>
        <v>1</v>
      </c>
      <c r="I21" s="268">
        <f>IF(D19&lt;D21,2,IF(AND(D21=D19,D21&gt;0),1,0))</f>
        <v>0</v>
      </c>
      <c r="J21" s="268">
        <f>IF(E19&lt;E21,2,IF(AND(E21=E19,E21&gt;0),1,0))</f>
        <v>0</v>
      </c>
      <c r="K21" s="268">
        <f>IF(F19&lt;F21,2,IF(AND(F21=F19,F21&gt;0),1,0))</f>
        <v>0</v>
      </c>
      <c r="L21" s="272">
        <f>SUM(G21:K22)</f>
        <v>1</v>
      </c>
      <c r="M21" s="15"/>
      <c r="N21" s="10"/>
      <c r="O21" s="254"/>
      <c r="P21" s="258"/>
      <c r="Q21" s="259"/>
      <c r="R21" s="259"/>
      <c r="S21" s="259"/>
      <c r="T21" s="259"/>
      <c r="U21" s="259"/>
      <c r="V21" s="259"/>
      <c r="W21" s="259"/>
      <c r="X21" s="259"/>
      <c r="Y21" s="260"/>
      <c r="Z21" s="262"/>
      <c r="AA21" s="13"/>
      <c r="AO21" s="9"/>
      <c r="AQ21" s="254"/>
      <c r="AR21" s="258"/>
      <c r="AS21" s="259"/>
      <c r="AT21" s="259"/>
      <c r="AU21" s="259"/>
      <c r="AV21" s="259"/>
      <c r="AW21" s="259"/>
      <c r="AX21" s="259"/>
      <c r="AY21" s="259"/>
      <c r="AZ21" s="259"/>
      <c r="BA21" s="260"/>
      <c r="BB21" s="262"/>
      <c r="BC21" s="14"/>
    </row>
    <row r="22" spans="1:63" ht="6.75" customHeight="1" thickBot="1" x14ac:dyDescent="0.25">
      <c r="A22" s="263"/>
      <c r="B22" s="265"/>
      <c r="C22" s="267"/>
      <c r="D22" s="267"/>
      <c r="E22" s="267"/>
      <c r="F22" s="267"/>
      <c r="G22" s="269"/>
      <c r="H22" s="269"/>
      <c r="I22" s="269"/>
      <c r="J22" s="269"/>
      <c r="K22" s="269"/>
      <c r="L22" s="273"/>
      <c r="M22" s="15"/>
      <c r="O22" s="7"/>
      <c r="AO22" s="9"/>
      <c r="BC22" s="9"/>
    </row>
    <row r="23" spans="1:63" ht="6.75" customHeight="1" x14ac:dyDescent="0.2">
      <c r="A23" s="254">
        <v>9</v>
      </c>
      <c r="B23" s="255" t="str">
        <f ca="1">IF(A23=" "," ",IFERROR(VLOOKUP(LARGE(INDIRECT(VLOOKUP($A$5,'Start List'!$J$9:$Q$14,Data!AP6+4,FALSE)),A23),'Start List'!$B$15:$V$139,3,FALSE),"bye to the next round"))</f>
        <v>Kubesová Sabina</v>
      </c>
      <c r="C23" s="256"/>
      <c r="D23" s="256"/>
      <c r="E23" s="256"/>
      <c r="F23" s="256"/>
      <c r="G23" s="256"/>
      <c r="H23" s="256"/>
      <c r="I23" s="256"/>
      <c r="J23" s="256"/>
      <c r="K23" s="257"/>
      <c r="L23" s="261" t="str">
        <f ca="1">IFERROR(VLOOKUP(LARGE(INDIRECT(VLOOKUP($A$5,'Start List'!$J$9:$Q$14,Data!AP6+4,FALSE)),Women!A23),'Start List'!$B$15:$V$139,7,FALSE)," ")</f>
        <v xml:space="preserve"> </v>
      </c>
      <c r="M23" s="8"/>
      <c r="O23" s="7"/>
      <c r="AO23" s="9"/>
      <c r="BC23" s="9"/>
    </row>
    <row r="24" spans="1:63" ht="6.75" customHeight="1" thickBot="1" x14ac:dyDescent="0.25">
      <c r="A24" s="254"/>
      <c r="B24" s="258"/>
      <c r="C24" s="259"/>
      <c r="D24" s="259"/>
      <c r="E24" s="259"/>
      <c r="F24" s="259"/>
      <c r="G24" s="259"/>
      <c r="H24" s="259"/>
      <c r="I24" s="259"/>
      <c r="J24" s="259"/>
      <c r="K24" s="260"/>
      <c r="L24" s="262"/>
      <c r="M24" s="13"/>
      <c r="AC24" s="263">
        <f>VLOOKUP(VLOOKUP($A$5,'Start List'!$J$9:$Q$14,8,FALSE)&amp;A7,Data!$D$2:$H$97,4,FALSE)</f>
        <v>8</v>
      </c>
      <c r="AD24" s="266">
        <v>30</v>
      </c>
      <c r="AE24" s="266">
        <v>28</v>
      </c>
      <c r="AF24" s="266">
        <v>30</v>
      </c>
      <c r="AG24" s="266"/>
      <c r="AH24" s="266"/>
      <c r="AI24" s="269">
        <f>IF(AD24&gt;AD26,2,IF(AND(AD26=AD24,AD24&gt;0),1,0))</f>
        <v>2</v>
      </c>
      <c r="AJ24" s="269">
        <f>IF(AE24&gt;AE26,2,IF(AND(AE26=AE24,AE24&gt;0),1,0))</f>
        <v>1</v>
      </c>
      <c r="AK24" s="269">
        <f>IF(AF24&gt;AF26,2,IF(AND(AF26=AF24,AF24&gt;0),1,0))</f>
        <v>2</v>
      </c>
      <c r="AL24" s="269">
        <f>IF(AG24&gt;AG26,2,IF(AND(AG26=AG24,AG24&gt;0),1,0))</f>
        <v>0</v>
      </c>
      <c r="AM24" s="269">
        <f>IF(AH24&gt;AH26,2,IF(AND(AH26=AH24,AH24&gt;0),1,0))</f>
        <v>0</v>
      </c>
      <c r="AN24" s="277">
        <f>SUM(AI24:AM25)</f>
        <v>5</v>
      </c>
      <c r="AO24" s="9"/>
      <c r="AQ24" s="263">
        <f>VLOOKUP(VLOOKUP($A$5,'Start List'!$J$9:$Q$14,8,FALSE)&amp;A7,Data!$D$2:$H$97,5,FALSE)</f>
        <v>5</v>
      </c>
      <c r="AR24" s="266">
        <v>30</v>
      </c>
      <c r="AS24" s="266">
        <v>29</v>
      </c>
      <c r="AT24" s="266">
        <v>29</v>
      </c>
      <c r="AU24" s="266"/>
      <c r="AV24" s="266"/>
      <c r="AW24" s="269">
        <f>IF(AR24&gt;AR26,2,IF(AND(AR26=AR24,AR24&gt;0),1,0))</f>
        <v>2</v>
      </c>
      <c r="AX24" s="269">
        <f>IF(AS24&gt;AS26,2,IF(AND(AS26=AS24,AS24&gt;0),1,0))</f>
        <v>2</v>
      </c>
      <c r="AY24" s="269">
        <f>IF(AT24&gt;AT26,2,IF(AND(AT26=AT24,AT24&gt;0),1,0))</f>
        <v>1</v>
      </c>
      <c r="AZ24" s="269">
        <f>IF(AU24&gt;AU26,2,IF(AND(AU26=AU24,AU24&gt;0),1,0))</f>
        <v>0</v>
      </c>
      <c r="BA24" s="269">
        <f>IF(AV24&gt;AV26,2,IF(AND(AV26=AV24,AV24&gt;0),1,0))</f>
        <v>0</v>
      </c>
      <c r="BB24" s="277">
        <f>SUM(AW24:BA25)</f>
        <v>5</v>
      </c>
      <c r="BC24" s="9"/>
    </row>
    <row r="25" spans="1:63" ht="6.75" customHeight="1" x14ac:dyDescent="0.2">
      <c r="A25" s="30"/>
      <c r="AC25" s="263"/>
      <c r="AD25" s="266"/>
      <c r="AE25" s="266"/>
      <c r="AF25" s="266"/>
      <c r="AG25" s="266"/>
      <c r="AH25" s="266"/>
      <c r="AI25" s="269"/>
      <c r="AJ25" s="269"/>
      <c r="AK25" s="269"/>
      <c r="AL25" s="269"/>
      <c r="AM25" s="269"/>
      <c r="AN25" s="277"/>
      <c r="AO25" s="9"/>
      <c r="AQ25" s="263"/>
      <c r="AR25" s="266"/>
      <c r="AS25" s="266"/>
      <c r="AT25" s="266"/>
      <c r="AU25" s="266"/>
      <c r="AV25" s="266"/>
      <c r="AW25" s="269"/>
      <c r="AX25" s="269"/>
      <c r="AY25" s="269"/>
      <c r="AZ25" s="269"/>
      <c r="BA25" s="269"/>
      <c r="BB25" s="277"/>
      <c r="BC25" s="9"/>
      <c r="BE25" s="254">
        <f ca="1">IF(AND(BB24&gt;BB26,BB24&gt;4),AQ20,IF(AND(BB26&gt;BB24,BB26&gt;4),AQ30,IF(AND(BB24=5,BB26=5),MIN(AQ20,AQ30)," ")))</f>
        <v>1</v>
      </c>
      <c r="BF25" s="279" t="str">
        <f ca="1">IF(BE25=" "," ",IFERROR(VLOOKUP(LARGE(INDIRECT(VLOOKUP($A$5,'Start List'!$J$9:$Q$14,Data!AP6+4,FALSE)),BE25),'Start List'!$B$15:$V$139,3,FALSE),"bye to the next round"))</f>
        <v>Pereglin Valentina</v>
      </c>
      <c r="BG25" s="256"/>
      <c r="BH25" s="256"/>
      <c r="BI25" s="256"/>
      <c r="BJ25" s="257"/>
      <c r="BK25" s="261" t="str">
        <f ca="1">IFERROR(VLOOKUP(LARGE(INDIRECT(VLOOKUP($A$5,'Start List'!$J$9:$Q$14,Data!AP6+4,FALSE)),BE25),'Start List'!$B$15:$V$139,7,FALSE)," ")</f>
        <v xml:space="preserve"> </v>
      </c>
    </row>
    <row r="26" spans="1:63" ht="6.75" customHeight="1" thickBo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63">
        <f>VLOOKUP(VLOOKUP($A$5,'Start List'!$J$9:$Q$14,8,FALSE)&amp;A43,Data!$D$2:$H$97,4,FALSE)</f>
        <v>9</v>
      </c>
      <c r="AD26" s="266">
        <v>27</v>
      </c>
      <c r="AE26" s="266">
        <v>28</v>
      </c>
      <c r="AF26" s="266">
        <v>26</v>
      </c>
      <c r="AG26" s="266"/>
      <c r="AH26" s="266"/>
      <c r="AI26" s="269">
        <f>IF(AD24&lt;AD26,2,IF(AND(AD26=AD24,AD26&gt;0),1,0))</f>
        <v>0</v>
      </c>
      <c r="AJ26" s="269">
        <f>IF(AE24&lt;AE26,2,IF(AND(AE26=AE24,AE26&gt;0),1,0))</f>
        <v>1</v>
      </c>
      <c r="AK26" s="269">
        <f>IF(AF24&lt;AF26,2,IF(AND(AF26=AF24,AF26&gt;0),1,0))</f>
        <v>0</v>
      </c>
      <c r="AL26" s="269">
        <f>IF(AG24&lt;AG26,2,IF(AND(AG26=AG24,AG26&gt;0),1,0))</f>
        <v>0</v>
      </c>
      <c r="AM26" s="269">
        <f>IF(AH24&lt;AH26,2,IF(AND(AH26=AH24,AH26&gt;0),1,0))</f>
        <v>0</v>
      </c>
      <c r="AN26" s="277">
        <f>SUM(AI26:AM27)</f>
        <v>1</v>
      </c>
      <c r="AO26" s="9"/>
      <c r="AP26" s="24"/>
      <c r="AQ26" s="263">
        <f>VLOOKUP(VLOOKUP($A$5,'Start List'!$J$9:$Q$14,8,FALSE)&amp;A47,Data!$D$2:$H$97,5,FALSE)</f>
        <v>6</v>
      </c>
      <c r="AR26" s="266">
        <v>29</v>
      </c>
      <c r="AS26" s="266">
        <v>28</v>
      </c>
      <c r="AT26" s="266">
        <v>29</v>
      </c>
      <c r="AU26" s="266"/>
      <c r="AV26" s="266"/>
      <c r="AW26" s="269">
        <f>IF(AR24&lt;AR26,2,IF(AND(AR26=AR24,AR26&gt;0),1,0))</f>
        <v>0</v>
      </c>
      <c r="AX26" s="269">
        <f>IF(AS24&lt;AS26,2,IF(AND(AS26=AS24,AS26&gt;0),1,0))</f>
        <v>0</v>
      </c>
      <c r="AY26" s="269">
        <f>IF(AT24&lt;AT26,2,IF(AND(AT26=AT24,AT26&gt;0),1,0))</f>
        <v>1</v>
      </c>
      <c r="AZ26" s="269">
        <f>IF(AU24&lt;AU26,2,IF(AND(AU26=AU24,AU26&gt;0),1,0))</f>
        <v>0</v>
      </c>
      <c r="BA26" s="269">
        <f>IF(AV24&lt;AV26,2,IF(AND(AV26=AV24,AV26&gt;0),1,0))</f>
        <v>0</v>
      </c>
      <c r="BB26" s="277">
        <f>SUM(AW26:BA27)</f>
        <v>1</v>
      </c>
      <c r="BC26" s="9"/>
      <c r="BD26" s="25"/>
      <c r="BE26" s="254"/>
      <c r="BF26" s="258"/>
      <c r="BG26" s="259"/>
      <c r="BH26" s="259"/>
      <c r="BI26" s="259"/>
      <c r="BJ26" s="260"/>
      <c r="BK26" s="262"/>
    </row>
    <row r="27" spans="1:63" ht="6.75" customHeight="1" x14ac:dyDescent="0.2">
      <c r="A27" s="254">
        <v>4</v>
      </c>
      <c r="B27" s="255" t="str">
        <f ca="1">IF(A27=" "," ",IFERROR(VLOOKUP(LARGE(INDIRECT(VLOOKUP($A$5,'Start List'!$J$9:$Q$14,Data!AP6+4,FALSE)),A27),'Start List'!$B$15:$V$139,3,FALSE),"bye to the next round"))</f>
        <v>Iva Popović-Gecan</v>
      </c>
      <c r="C27" s="256"/>
      <c r="D27" s="256"/>
      <c r="E27" s="256"/>
      <c r="F27" s="256"/>
      <c r="G27" s="256"/>
      <c r="H27" s="256"/>
      <c r="I27" s="256"/>
      <c r="J27" s="256"/>
      <c r="K27" s="257"/>
      <c r="L27" s="261" t="str">
        <f ca="1">IFERROR(VLOOKUP(LARGE(INDIRECT(VLOOKUP($A$5,'Start List'!$J$9:$Q$14,Data!AP6+4,FALSE)),Women!A27),'Start List'!$B$15:$V$139,7,FALSE)," ")</f>
        <v xml:space="preserve"> </v>
      </c>
      <c r="M27" s="2"/>
      <c r="N27" s="5"/>
      <c r="O27" s="11"/>
      <c r="P27" s="1"/>
      <c r="Q27" s="1"/>
      <c r="R27" s="1"/>
      <c r="S27" s="1"/>
      <c r="T27" s="1"/>
      <c r="U27" s="1"/>
      <c r="V27" s="1"/>
      <c r="W27" s="1"/>
      <c r="X27" s="1"/>
      <c r="Y27" s="1"/>
      <c r="Z27" s="1"/>
      <c r="AA27" s="1"/>
      <c r="AB27" s="1"/>
      <c r="AC27" s="263"/>
      <c r="AD27" s="266"/>
      <c r="AE27" s="266"/>
      <c r="AF27" s="266"/>
      <c r="AG27" s="266"/>
      <c r="AH27" s="266"/>
      <c r="AI27" s="269"/>
      <c r="AJ27" s="269"/>
      <c r="AK27" s="269"/>
      <c r="AL27" s="269"/>
      <c r="AM27" s="269"/>
      <c r="AN27" s="277"/>
      <c r="AO27" s="9"/>
      <c r="AQ27" s="263"/>
      <c r="AR27" s="266"/>
      <c r="AS27" s="266"/>
      <c r="AT27" s="266"/>
      <c r="AU27" s="266"/>
      <c r="AV27" s="266"/>
      <c r="AW27" s="269"/>
      <c r="AX27" s="269"/>
      <c r="AY27" s="269"/>
      <c r="AZ27" s="269"/>
      <c r="BA27" s="269"/>
      <c r="BB27" s="277"/>
      <c r="BC27" s="9"/>
    </row>
    <row r="28" spans="1:63" ht="6.75" customHeight="1" thickBot="1" x14ac:dyDescent="0.25">
      <c r="A28" s="270"/>
      <c r="B28" s="258"/>
      <c r="C28" s="259"/>
      <c r="D28" s="259"/>
      <c r="E28" s="259"/>
      <c r="F28" s="259"/>
      <c r="G28" s="259"/>
      <c r="H28" s="259"/>
      <c r="I28" s="259"/>
      <c r="J28" s="259"/>
      <c r="K28" s="260"/>
      <c r="L28" s="262"/>
      <c r="M28" s="14"/>
      <c r="AO28" s="9"/>
      <c r="BC28" s="9"/>
    </row>
    <row r="29" spans="1:63" ht="6.75" customHeight="1" thickBot="1" x14ac:dyDescent="0.25">
      <c r="A29" s="263">
        <f ca="1">VLOOKUP(VLOOKUP($A$5,'Start List'!$J$9:$Q$14,8,FALSE)&amp;A27,Data!$D$2:$H$97,2,FALSE)</f>
        <v>21</v>
      </c>
      <c r="B29" s="274">
        <v>27</v>
      </c>
      <c r="C29" s="271">
        <v>27</v>
      </c>
      <c r="D29" s="271">
        <v>28</v>
      </c>
      <c r="E29" s="271">
        <v>29</v>
      </c>
      <c r="F29" s="271">
        <v>28</v>
      </c>
      <c r="G29" s="268">
        <f>IF(B29&gt;B31,2,IF(AND(B31=B29,B29&gt;0),1,0))</f>
        <v>0</v>
      </c>
      <c r="H29" s="268">
        <f>IF(C29&gt;C31,2,IF(AND(C31=C29,C29&gt;0),1,0))</f>
        <v>0</v>
      </c>
      <c r="I29" s="268">
        <f>IF(D29&gt;D31,2,IF(AND(D31=D29,D29&gt;0),1,0))</f>
        <v>2</v>
      </c>
      <c r="J29" s="268">
        <f>IF(E29&gt;E31,2,IF(AND(E31=E29,E29&gt;0),1,0))</f>
        <v>2</v>
      </c>
      <c r="K29" s="268">
        <f>IF(F29&gt;F31,2,IF(AND(F31=F29,F29&gt;0),1,0))</f>
        <v>2</v>
      </c>
      <c r="L29" s="272">
        <f>SUM(G29:K30)</f>
        <v>6</v>
      </c>
      <c r="M29" s="9"/>
      <c r="AO29" s="9"/>
      <c r="AQ29" s="22"/>
      <c r="BC29" s="9"/>
    </row>
    <row r="30" spans="1:63" ht="6.75" customHeight="1" x14ac:dyDescent="0.2">
      <c r="A30" s="263"/>
      <c r="B30" s="264"/>
      <c r="C30" s="266"/>
      <c r="D30" s="266"/>
      <c r="E30" s="266"/>
      <c r="F30" s="266"/>
      <c r="G30" s="269"/>
      <c r="H30" s="269"/>
      <c r="I30" s="269"/>
      <c r="J30" s="269"/>
      <c r="K30" s="269"/>
      <c r="L30" s="273"/>
      <c r="M30" s="15"/>
      <c r="O30" s="254">
        <f ca="1">IF(B33="bye to the next round",A27,IF(AND(L29&gt;L31,L29&gt;4),A27,IF(AND(L31&gt;L29,L31&gt;4),A33,IF(AND(L29=5,L31=5),MIN(A27,A33)," "))))</f>
        <v>4</v>
      </c>
      <c r="P30" s="255" t="str">
        <f ca="1">IF(O30=" "," ",IFERROR(VLOOKUP(LARGE(INDIRECT(VLOOKUP($A$5,'Start List'!$J$9:$Q$14,Data!AP6+4,FALSE)),O30),'Start List'!$B$15:$V$139,3,FALSE),"bye to the next round"))</f>
        <v>Iva Popović-Gecan</v>
      </c>
      <c r="Q30" s="256"/>
      <c r="R30" s="256"/>
      <c r="S30" s="256"/>
      <c r="T30" s="256"/>
      <c r="U30" s="256"/>
      <c r="V30" s="256"/>
      <c r="W30" s="256"/>
      <c r="X30" s="256"/>
      <c r="Y30" s="257"/>
      <c r="Z30" s="261" t="str">
        <f ca="1">IFERROR(VLOOKUP(LARGE(INDIRECT(VLOOKUP($A$5,'Start List'!$J$9:$Q$14,Data!AP6+4,FALSE)),Women!O30),'Start List'!$B$15:$V$139,7,FALSE)," ")</f>
        <v xml:space="preserve"> </v>
      </c>
      <c r="AA30" s="16"/>
      <c r="AO30" s="9"/>
      <c r="AQ30" s="254">
        <f ca="1">IF(AND(AN64&gt;AN66,AN64&gt;4),AC55,IF(AND(AN66&gt;AN64,AN66&gt;4),AC75,IF(AND(AN64=5,AN66=5),MIN(AC55,AC75)," ")))</f>
        <v>2</v>
      </c>
      <c r="AR30" s="255" t="str">
        <f ca="1">IF(AQ30=" "," ",IFERROR(VLOOKUP(LARGE(INDIRECT(VLOOKUP($A$5,'Start List'!$J$9:$Q$14,Data!AP6+4,FALSE)),AQ30),'Start List'!$B$15:$V$139,3,FALSE),"bye to the next round"))</f>
        <v>Oborovečki Mihaela</v>
      </c>
      <c r="AS30" s="256"/>
      <c r="AT30" s="256"/>
      <c r="AU30" s="256"/>
      <c r="AV30" s="256"/>
      <c r="AW30" s="256"/>
      <c r="AX30" s="256"/>
      <c r="AY30" s="256"/>
      <c r="AZ30" s="256"/>
      <c r="BA30" s="257"/>
      <c r="BB30" s="261" t="str">
        <f ca="1">IFERROR(VLOOKUP(LARGE(INDIRECT(VLOOKUP($A$5,'Start List'!$J$9:$Q$14,Data!AP6+4,FALSE)),Women!AQ30),'Start List'!$B$15:$V$139,7,FALSE)," ")</f>
        <v xml:space="preserve"> </v>
      </c>
      <c r="BC30" s="20"/>
    </row>
    <row r="31" spans="1:63" ht="6.75" customHeight="1" thickBot="1" x14ac:dyDescent="0.25">
      <c r="A31" s="263">
        <f ca="1">VLOOKUP(VLOOKUP($A$5,'Start List'!$J$9:$Q$14,8,FALSE)&amp;A33,Data!$D$2:$H$97,2,FALSE)</f>
        <v>22</v>
      </c>
      <c r="B31" s="264">
        <v>29</v>
      </c>
      <c r="C31" s="266">
        <v>28</v>
      </c>
      <c r="D31" s="266">
        <v>24</v>
      </c>
      <c r="E31" s="266">
        <v>25</v>
      </c>
      <c r="F31" s="266">
        <v>27</v>
      </c>
      <c r="G31" s="268">
        <f>IF(B29&lt;B31,2,IF(AND(B31=B29,B31&gt;0),1,0))</f>
        <v>2</v>
      </c>
      <c r="H31" s="268">
        <f>IF(C29&lt;C31,2,IF(AND(C31=C29,C31&gt;0),1,0))</f>
        <v>2</v>
      </c>
      <c r="I31" s="268">
        <f>IF(D29&lt;D31,2,IF(AND(D31=D29,D31&gt;0),1,0))</f>
        <v>0</v>
      </c>
      <c r="J31" s="268">
        <f>IF(E29&lt;E31,2,IF(AND(E31=E29,E31&gt;0),1,0))</f>
        <v>0</v>
      </c>
      <c r="K31" s="268">
        <f>IF(F29&lt;F31,2,IF(AND(F31=F29,F31&gt;0),1,0))</f>
        <v>0</v>
      </c>
      <c r="L31" s="272">
        <f>SUM(G31:K32)</f>
        <v>4</v>
      </c>
      <c r="M31" s="15"/>
      <c r="N31" s="10"/>
      <c r="O31" s="254"/>
      <c r="P31" s="258"/>
      <c r="Q31" s="259"/>
      <c r="R31" s="259"/>
      <c r="S31" s="259"/>
      <c r="T31" s="259"/>
      <c r="U31" s="259"/>
      <c r="V31" s="259"/>
      <c r="W31" s="259"/>
      <c r="X31" s="259"/>
      <c r="Y31" s="260"/>
      <c r="Z31" s="262"/>
      <c r="AA31" s="12"/>
      <c r="AO31" s="9"/>
      <c r="AQ31" s="254"/>
      <c r="AR31" s="258"/>
      <c r="AS31" s="259"/>
      <c r="AT31" s="259"/>
      <c r="AU31" s="259"/>
      <c r="AV31" s="259"/>
      <c r="AW31" s="259"/>
      <c r="AX31" s="259"/>
      <c r="AY31" s="259"/>
      <c r="AZ31" s="259"/>
      <c r="BA31" s="260"/>
      <c r="BB31" s="262"/>
      <c r="BC31" s="23"/>
    </row>
    <row r="32" spans="1:63" ht="6.75" customHeight="1" thickBot="1" x14ac:dyDescent="0.25">
      <c r="A32" s="263"/>
      <c r="B32" s="265"/>
      <c r="C32" s="267"/>
      <c r="D32" s="267"/>
      <c r="E32" s="267"/>
      <c r="F32" s="267"/>
      <c r="G32" s="269"/>
      <c r="H32" s="269"/>
      <c r="I32" s="269"/>
      <c r="J32" s="269"/>
      <c r="K32" s="269"/>
      <c r="L32" s="273"/>
      <c r="M32" s="15"/>
      <c r="O32" s="7"/>
      <c r="AA32" s="9"/>
      <c r="AO32" s="9"/>
      <c r="BC32" s="23"/>
    </row>
    <row r="33" spans="1:63" ht="6.75" customHeight="1" x14ac:dyDescent="0.2">
      <c r="A33" s="254">
        <v>13</v>
      </c>
      <c r="B33" s="255" t="str">
        <f ca="1">IF(A33=" "," ",IFERROR(VLOOKUP(LARGE(INDIRECT(VLOOKUP($A$5,'Start List'!$J$9:$Q$14,Data!AP6+4,FALSE)),A33),'Start List'!$B$15:$V$139,3,FALSE),"bye to the next round"))</f>
        <v>Kocsis Mária</v>
      </c>
      <c r="C33" s="256"/>
      <c r="D33" s="256"/>
      <c r="E33" s="256"/>
      <c r="F33" s="256"/>
      <c r="G33" s="256"/>
      <c r="H33" s="256"/>
      <c r="I33" s="256"/>
      <c r="J33" s="256"/>
      <c r="K33" s="257"/>
      <c r="L33" s="261" t="str">
        <f ca="1">IFERROR(VLOOKUP(LARGE(INDIRECT(VLOOKUP($A$5,'Start List'!$J$9:$Q$14,Data!AP6+4,FALSE)),Women!A33),'Start List'!$B$15:$V$139,7,FALSE)," ")</f>
        <v xml:space="preserve"> </v>
      </c>
      <c r="M33" s="8"/>
      <c r="O33" s="7"/>
      <c r="AA33" s="9"/>
      <c r="AO33" s="9"/>
      <c r="BC33" s="23"/>
    </row>
    <row r="34" spans="1:63" ht="6.75" customHeight="1" thickBot="1" x14ac:dyDescent="0.25">
      <c r="A34" s="254"/>
      <c r="B34" s="258"/>
      <c r="C34" s="259"/>
      <c r="D34" s="259"/>
      <c r="E34" s="259"/>
      <c r="F34" s="259"/>
      <c r="G34" s="259"/>
      <c r="H34" s="259"/>
      <c r="I34" s="259"/>
      <c r="J34" s="259"/>
      <c r="K34" s="260"/>
      <c r="L34" s="262"/>
      <c r="M34" s="13"/>
      <c r="O34" s="263">
        <f ca="1">VLOOKUP(VLOOKUP($A$5,'Start List'!$J$9:$Q$14,8,FALSE)&amp;A27,Data!$D$2:$H$97,3,FALSE)</f>
        <v>12</v>
      </c>
      <c r="P34" s="266">
        <v>26</v>
      </c>
      <c r="Q34" s="266">
        <v>28</v>
      </c>
      <c r="R34" s="266">
        <v>25</v>
      </c>
      <c r="S34" s="266">
        <v>26</v>
      </c>
      <c r="T34" s="266"/>
      <c r="U34" s="269">
        <f>IF(P34&gt;P36,2,IF(AND(P36=P34,P34&gt;0),1,0))</f>
        <v>2</v>
      </c>
      <c r="V34" s="269">
        <f>IF(Q34&gt;Q36,2,IF(AND(Q36=Q34,Q34&gt;0),1,0))</f>
        <v>2</v>
      </c>
      <c r="W34" s="269">
        <f>IF(R34&gt;R36,2,IF(AND(R36=R34,R34&gt;0),1,0))</f>
        <v>0</v>
      </c>
      <c r="X34" s="269">
        <f>IF(S34&gt;S36,2,IF(AND(S36=S34,S34&gt;0),1,0))</f>
        <v>2</v>
      </c>
      <c r="Y34" s="269">
        <f>IF(T34&gt;T36,2,IF(AND(T36=T34,T34&gt;0),1,0))</f>
        <v>0</v>
      </c>
      <c r="Z34" s="277">
        <f>SUM(U34:Y35)</f>
        <v>6</v>
      </c>
      <c r="AA34" s="9"/>
      <c r="AO34" s="9"/>
      <c r="BC34" s="23"/>
    </row>
    <row r="35" spans="1:63" ht="6.75" customHeight="1" x14ac:dyDescent="0.2">
      <c r="A35" s="30"/>
      <c r="O35" s="263"/>
      <c r="P35" s="266"/>
      <c r="Q35" s="266"/>
      <c r="R35" s="266"/>
      <c r="S35" s="266"/>
      <c r="T35" s="266"/>
      <c r="U35" s="269"/>
      <c r="V35" s="269"/>
      <c r="W35" s="269"/>
      <c r="X35" s="269"/>
      <c r="Y35" s="269"/>
      <c r="Z35" s="277"/>
      <c r="AA35" s="9"/>
      <c r="AC35" s="254">
        <f ca="1">IF(P40="bye to the next round",O30,IF(AND(Z34&gt;Z36,Z34&gt;4),O30,IF(AND(Z36&gt;Z34,Z36&gt;4),O40,IF(AND(Z34=5,Z36=5),MIN(O30,O40)," "))))</f>
        <v>4</v>
      </c>
      <c r="AD35" s="255" t="str">
        <f ca="1">IF(AC35=" "," ",IFERROR(VLOOKUP(LARGE(INDIRECT(VLOOKUP($A$5,'Start List'!$J$9:$Q$14,Data!AP6+4,FALSE)),AC35),'Start List'!$B$15:$V$139,3,FALSE),"bye to the next round"))</f>
        <v>Iva Popović-Gecan</v>
      </c>
      <c r="AE35" s="256"/>
      <c r="AF35" s="256"/>
      <c r="AG35" s="256"/>
      <c r="AH35" s="256"/>
      <c r="AI35" s="256"/>
      <c r="AJ35" s="256"/>
      <c r="AK35" s="256"/>
      <c r="AL35" s="256"/>
      <c r="AM35" s="257"/>
      <c r="AN35" s="275" t="str">
        <f ca="1">IFERROR(VLOOKUP(LARGE(INDIRECT(VLOOKUP($A$5,'Start List'!$J$9:$Q$14,Data!AP6+4,FALSE)),Women!AC35),'Start List'!$B$15:$V$139,7,FALSE)," ")</f>
        <v xml:space="preserve"> </v>
      </c>
      <c r="AO35" s="8"/>
      <c r="BC35" s="23"/>
    </row>
    <row r="36" spans="1:63" ht="6.75" customHeight="1" thickBot="1" x14ac:dyDescent="0.25">
      <c r="A36" s="29"/>
      <c r="B36" s="29"/>
      <c r="C36" s="29"/>
      <c r="D36" s="29"/>
      <c r="E36" s="29"/>
      <c r="F36" s="29"/>
      <c r="G36" s="29"/>
      <c r="H36" s="29"/>
      <c r="I36" s="29"/>
      <c r="J36" s="29"/>
      <c r="K36" s="29"/>
      <c r="L36" s="29"/>
      <c r="M36" s="29"/>
      <c r="N36" s="29"/>
      <c r="O36" s="263">
        <f ca="1">VLOOKUP(VLOOKUP($A$5,'Start List'!$J$9:$Q$14,8,FALSE)&amp;A43,Data!$D$2:$H$97,3,FALSE)</f>
        <v>13</v>
      </c>
      <c r="P36" s="266">
        <v>22</v>
      </c>
      <c r="Q36" s="266">
        <v>23</v>
      </c>
      <c r="R36" s="266">
        <v>27</v>
      </c>
      <c r="S36" s="266">
        <v>24</v>
      </c>
      <c r="T36" s="266"/>
      <c r="U36" s="269">
        <f>IF(P34&lt;P36,2,IF(AND(P36=P34,P36&gt;0),1,0))</f>
        <v>0</v>
      </c>
      <c r="V36" s="269">
        <f>IF(Q34&lt;Q36,2,IF(AND(Q36=Q34,Q36&gt;0),1,0))</f>
        <v>0</v>
      </c>
      <c r="W36" s="269">
        <f>IF(R34&lt;R36,2,IF(AND(R36=R34,R36&gt;0),1,0))</f>
        <v>2</v>
      </c>
      <c r="X36" s="269">
        <f>IF(S34&lt;S36,2,IF(AND(S36=S34,S36&gt;0),1,0))</f>
        <v>0</v>
      </c>
      <c r="Y36" s="269">
        <f>IF(T34&lt;T36,2,IF(AND(T36=T34,T36&gt;0),1,0))</f>
        <v>0</v>
      </c>
      <c r="Z36" s="277">
        <f>SUM(U36:Y37)</f>
        <v>2</v>
      </c>
      <c r="AA36" s="17"/>
      <c r="AB36" s="19"/>
      <c r="AC36" s="254"/>
      <c r="AD36" s="258"/>
      <c r="AE36" s="259"/>
      <c r="AF36" s="259"/>
      <c r="AG36" s="259"/>
      <c r="AH36" s="259"/>
      <c r="AI36" s="259"/>
      <c r="AJ36" s="259"/>
      <c r="AK36" s="259"/>
      <c r="AL36" s="259"/>
      <c r="AM36" s="260"/>
      <c r="AN36" s="276"/>
      <c r="AO36" s="13"/>
      <c r="BC36" s="23"/>
    </row>
    <row r="37" spans="1:63" ht="6.75" customHeight="1" x14ac:dyDescent="0.2">
      <c r="A37" s="254">
        <v>5</v>
      </c>
      <c r="B37" s="255" t="str">
        <f ca="1">IF(A37=" "," ",IFERROR(VLOOKUP(LARGE(INDIRECT(VLOOKUP($A$5,'Start List'!$J$9:$Q$14,Data!AP6+4,FALSE)),A37),'Start List'!$B$15:$V$139,3,FALSE),"bye to the next round"))</f>
        <v>Petra Petak</v>
      </c>
      <c r="C37" s="256"/>
      <c r="D37" s="256"/>
      <c r="E37" s="256"/>
      <c r="F37" s="256"/>
      <c r="G37" s="256"/>
      <c r="H37" s="256"/>
      <c r="I37" s="256"/>
      <c r="J37" s="256"/>
      <c r="K37" s="257"/>
      <c r="L37" s="261" t="str">
        <f ca="1">IFERROR(VLOOKUP(LARGE(INDIRECT(VLOOKUP($A$5,'Start List'!$J$9:$Q$14,Data!AP6+4,FALSE)),Women!A37),'Start List'!$B$15:$V$139,7,FALSE)," ")</f>
        <v xml:space="preserve"> </v>
      </c>
      <c r="M37" s="2"/>
      <c r="N37" s="5"/>
      <c r="O37" s="263"/>
      <c r="P37" s="266"/>
      <c r="Q37" s="266"/>
      <c r="R37" s="266"/>
      <c r="S37" s="266"/>
      <c r="T37" s="266"/>
      <c r="U37" s="269"/>
      <c r="V37" s="269"/>
      <c r="W37" s="269"/>
      <c r="X37" s="269"/>
      <c r="Y37" s="269"/>
      <c r="Z37" s="277"/>
      <c r="AA37" s="18"/>
      <c r="AB37" s="1"/>
      <c r="BC37" s="23"/>
    </row>
    <row r="38" spans="1:63" ht="6.75" customHeight="1" thickBot="1" x14ac:dyDescent="0.25">
      <c r="A38" s="270"/>
      <c r="B38" s="258"/>
      <c r="C38" s="259"/>
      <c r="D38" s="259"/>
      <c r="E38" s="259"/>
      <c r="F38" s="259"/>
      <c r="G38" s="259"/>
      <c r="H38" s="259"/>
      <c r="I38" s="259"/>
      <c r="J38" s="259"/>
      <c r="K38" s="260"/>
      <c r="L38" s="262"/>
      <c r="M38" s="14"/>
      <c r="AA38" s="9"/>
      <c r="BC38" s="23"/>
    </row>
    <row r="39" spans="1:63" ht="6.75" customHeight="1" thickBot="1" x14ac:dyDescent="0.25">
      <c r="A39" s="263">
        <f ca="1">VLOOKUP(VLOOKUP($A$5,'Start List'!$J$9:$Q$14,8,FALSE)&amp;A37,Data!$D$2:$H$97,2,FALSE)</f>
        <v>23</v>
      </c>
      <c r="B39" s="274">
        <v>28</v>
      </c>
      <c r="C39" s="271">
        <v>25</v>
      </c>
      <c r="D39" s="271">
        <v>25</v>
      </c>
      <c r="E39" s="271">
        <v>26</v>
      </c>
      <c r="F39" s="271"/>
      <c r="G39" s="268">
        <f>IF(B39&gt;B41,2,IF(AND(B41=B39,B39&gt;0),1,0))</f>
        <v>2</v>
      </c>
      <c r="H39" s="268">
        <f>IF(C39&gt;C41,2,IF(AND(C41=C39,C39&gt;0),1,0))</f>
        <v>0</v>
      </c>
      <c r="I39" s="268">
        <f>IF(D39&gt;D41,2,IF(AND(D41=D39,D39&gt;0),1,0))</f>
        <v>0</v>
      </c>
      <c r="J39" s="268">
        <f>IF(E39&gt;E41,2,IF(AND(E41=E39,E39&gt;0),1,0))</f>
        <v>0</v>
      </c>
      <c r="K39" s="268">
        <f>IF(F39&gt;F41,2,IF(AND(F41=F39,F39&gt;0),1,0))</f>
        <v>0</v>
      </c>
      <c r="L39" s="272">
        <f>SUM(G39:K40)</f>
        <v>2</v>
      </c>
      <c r="M39" s="9"/>
      <c r="AA39" s="9"/>
      <c r="BC39" s="23"/>
    </row>
    <row r="40" spans="1:63" ht="6.75" customHeight="1" x14ac:dyDescent="0.2">
      <c r="A40" s="263"/>
      <c r="B40" s="264"/>
      <c r="C40" s="266"/>
      <c r="D40" s="266"/>
      <c r="E40" s="266"/>
      <c r="F40" s="266"/>
      <c r="G40" s="269"/>
      <c r="H40" s="269"/>
      <c r="I40" s="269"/>
      <c r="J40" s="269"/>
      <c r="K40" s="269"/>
      <c r="L40" s="273"/>
      <c r="M40" s="15"/>
      <c r="O40" s="254">
        <f ca="1">IF(B43="bye to the next round",A37,IF(AND(L39&gt;L41,L39&gt;4),A37,IF(AND(L41&gt;L39,L41&gt;4),A43,IF(AND(L39=5,L41=5),MIN(A37,A43)," "))))</f>
        <v>12</v>
      </c>
      <c r="P40" s="255" t="str">
        <f ca="1">IF(O40=" "," ",IFERROR(VLOOKUP(LARGE(INDIRECT(VLOOKUP($A$5,'Start List'!$J$9:$Q$14,Data!AP6+4,FALSE)),O40),'Start List'!$B$15:$V$139,3,FALSE),"bye to the next round"))</f>
        <v>Hynková Irena</v>
      </c>
      <c r="Q40" s="256"/>
      <c r="R40" s="256"/>
      <c r="S40" s="256"/>
      <c r="T40" s="256"/>
      <c r="U40" s="256"/>
      <c r="V40" s="256"/>
      <c r="W40" s="256"/>
      <c r="X40" s="256"/>
      <c r="Y40" s="257"/>
      <c r="Z40" s="261" t="str">
        <f ca="1">IFERROR(VLOOKUP(LARGE(INDIRECT(VLOOKUP($A$5,'Start List'!$J$9:$Q$14,Data!AP6+4,FALSE)),Women!O40),'Start List'!$B$15:$V$139,7,FALSE)," ")</f>
        <v xml:space="preserve"> </v>
      </c>
      <c r="AA40" s="8"/>
      <c r="BC40" s="23"/>
      <c r="BE40" s="278" t="str">
        <f>VLOOKUP("Stand",Translation!$A$1:$E$57,Data!$AP$2,FALSE)</f>
        <v>Final Standings</v>
      </c>
      <c r="BF40" s="278"/>
      <c r="BG40" s="278"/>
      <c r="BH40" s="278"/>
      <c r="BI40" s="278"/>
      <c r="BJ40" s="278"/>
      <c r="BK40" s="278"/>
    </row>
    <row r="41" spans="1:63" ht="6.75" customHeight="1" thickBot="1" x14ac:dyDescent="0.25">
      <c r="A41" s="263">
        <f ca="1">VLOOKUP(VLOOKUP($A$5,'Start List'!$J$9:$Q$14,8,FALSE)&amp;A43,Data!$D$2:$H$97,2,FALSE)</f>
        <v>24</v>
      </c>
      <c r="B41" s="264">
        <v>23</v>
      </c>
      <c r="C41" s="266">
        <v>28</v>
      </c>
      <c r="D41" s="266">
        <v>27</v>
      </c>
      <c r="E41" s="266">
        <v>29</v>
      </c>
      <c r="F41" s="266"/>
      <c r="G41" s="268">
        <f>IF(B39&lt;B41,2,IF(AND(B41=B39,B41&gt;0),1,0))</f>
        <v>0</v>
      </c>
      <c r="H41" s="268">
        <f>IF(C39&lt;C41,2,IF(AND(C41=C39,C41&gt;0),1,0))</f>
        <v>2</v>
      </c>
      <c r="I41" s="268">
        <f>IF(D39&lt;D41,2,IF(AND(D41=D39,D41&gt;0),1,0))</f>
        <v>2</v>
      </c>
      <c r="J41" s="268">
        <f>IF(E39&lt;E41,2,IF(AND(E41=E39,E41&gt;0),1,0))</f>
        <v>2</v>
      </c>
      <c r="K41" s="268">
        <f>IF(F39&lt;F41,2,IF(AND(F41=F39,F41&gt;0),1,0))</f>
        <v>0</v>
      </c>
      <c r="L41" s="272">
        <f>SUM(G41:K42)</f>
        <v>6</v>
      </c>
      <c r="M41" s="15"/>
      <c r="N41" s="10"/>
      <c r="O41" s="254"/>
      <c r="P41" s="258"/>
      <c r="Q41" s="259"/>
      <c r="R41" s="259"/>
      <c r="S41" s="259"/>
      <c r="T41" s="259"/>
      <c r="U41" s="259"/>
      <c r="V41" s="259"/>
      <c r="W41" s="259"/>
      <c r="X41" s="259"/>
      <c r="Y41" s="260"/>
      <c r="Z41" s="262"/>
      <c r="AA41" s="13"/>
      <c r="BE41" s="278"/>
      <c r="BF41" s="278"/>
      <c r="BG41" s="278"/>
      <c r="BH41" s="278"/>
      <c r="BI41" s="278"/>
      <c r="BJ41" s="278"/>
      <c r="BK41" s="278"/>
    </row>
    <row r="42" spans="1:63" ht="6.75" customHeight="1" thickBot="1" x14ac:dyDescent="0.25">
      <c r="A42" s="263"/>
      <c r="B42" s="265"/>
      <c r="C42" s="267"/>
      <c r="D42" s="267"/>
      <c r="E42" s="267"/>
      <c r="F42" s="267"/>
      <c r="G42" s="269"/>
      <c r="H42" s="269"/>
      <c r="I42" s="269"/>
      <c r="J42" s="269"/>
      <c r="K42" s="269"/>
      <c r="L42" s="273"/>
      <c r="M42" s="15"/>
      <c r="O42" s="7"/>
      <c r="BE42" s="280">
        <v>1</v>
      </c>
      <c r="BF42" s="282" t="str">
        <f ca="1">BF25</f>
        <v>Pereglin Valentina</v>
      </c>
      <c r="BG42" s="282"/>
      <c r="BH42" s="282"/>
      <c r="BI42" s="282"/>
      <c r="BJ42" s="282"/>
      <c r="BK42" s="284" t="str">
        <f ca="1">BK25</f>
        <v xml:space="preserve"> </v>
      </c>
    </row>
    <row r="43" spans="1:63" ht="6.75" customHeight="1" x14ac:dyDescent="0.2">
      <c r="A43" s="254">
        <v>12</v>
      </c>
      <c r="B43" s="255" t="str">
        <f ca="1">IF(A43=" "," ",IFERROR(VLOOKUP(LARGE(INDIRECT(VLOOKUP($A$5,'Start List'!$J$9:$Q$14,Data!AP6+4,FALSE)),A43),'Start List'!$B$15:$V$139,3,FALSE),"bye to the next round"))</f>
        <v>Hynková Irena</v>
      </c>
      <c r="C43" s="256"/>
      <c r="D43" s="256"/>
      <c r="E43" s="256"/>
      <c r="F43" s="256"/>
      <c r="G43" s="256"/>
      <c r="H43" s="256"/>
      <c r="I43" s="256"/>
      <c r="J43" s="256"/>
      <c r="K43" s="257"/>
      <c r="L43" s="261" t="str">
        <f ca="1">IFERROR(VLOOKUP(LARGE(INDIRECT(VLOOKUP($A$5,'Start List'!$J$9:$Q$14,Data!AP6+4,FALSE)),Women!A43),'Start List'!$B$15:$V$139,7,FALSE)," ")</f>
        <v xml:space="preserve"> </v>
      </c>
      <c r="M43" s="8"/>
      <c r="O43" s="7"/>
      <c r="BE43" s="281"/>
      <c r="BF43" s="283"/>
      <c r="BG43" s="283"/>
      <c r="BH43" s="283"/>
      <c r="BI43" s="283"/>
      <c r="BJ43" s="283"/>
      <c r="BK43" s="285"/>
    </row>
    <row r="44" spans="1:63" ht="6.75" customHeight="1" thickBot="1" x14ac:dyDescent="0.25">
      <c r="A44" s="254"/>
      <c r="B44" s="258"/>
      <c r="C44" s="259"/>
      <c r="D44" s="259"/>
      <c r="E44" s="259"/>
      <c r="F44" s="259"/>
      <c r="G44" s="259"/>
      <c r="H44" s="259"/>
      <c r="I44" s="259"/>
      <c r="J44" s="259"/>
      <c r="K44" s="260"/>
      <c r="L44" s="262"/>
      <c r="M44" s="13"/>
      <c r="BE44" s="286">
        <v>2</v>
      </c>
      <c r="BF44" s="283" t="str">
        <f ca="1">IF(BE25=" "," ",IF(BE25=AQ20,AR30,AR20))</f>
        <v>Oborovečki Mihaela</v>
      </c>
      <c r="BG44" s="283"/>
      <c r="BH44" s="283"/>
      <c r="BI44" s="283"/>
      <c r="BJ44" s="283"/>
      <c r="BK44" s="285" t="str">
        <f ca="1">IF(BE25=" "," ",IF(BE25=AQ20,BB30,BB20))</f>
        <v xml:space="preserve"> </v>
      </c>
    </row>
    <row r="45" spans="1:63" ht="6.75" customHeight="1" x14ac:dyDescent="0.2">
      <c r="A45" s="30"/>
      <c r="BE45" s="286"/>
      <c r="BF45" s="283"/>
      <c r="BG45" s="283"/>
      <c r="BH45" s="283"/>
      <c r="BI45" s="283"/>
      <c r="BJ45" s="283"/>
      <c r="BK45" s="285"/>
    </row>
    <row r="46" spans="1:63" ht="6.75" customHeight="1" thickBo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BE46" s="287">
        <v>3</v>
      </c>
      <c r="BF46" s="283" t="str">
        <f ca="1">BF65</f>
        <v>Karla Bartolović</v>
      </c>
      <c r="BG46" s="283"/>
      <c r="BH46" s="283"/>
      <c r="BI46" s="283"/>
      <c r="BJ46" s="283"/>
      <c r="BK46" s="285" t="str">
        <f ca="1">BK65</f>
        <v xml:space="preserve"> </v>
      </c>
    </row>
    <row r="47" spans="1:63" ht="6.75" customHeight="1" x14ac:dyDescent="0.2">
      <c r="A47" s="254">
        <v>2</v>
      </c>
      <c r="B47" s="255" t="str">
        <f ca="1">IF(A47=" "," ",IFERROR(VLOOKUP(LARGE(INDIRECT(VLOOKUP($A$5,'Start List'!$J$9:$Q$14,Data!AP6+4,FALSE)),A47),'Start List'!$B$15:$V$139,3,FALSE),"bye to the next round"))</f>
        <v>Oborovečki Mihaela</v>
      </c>
      <c r="C47" s="256"/>
      <c r="D47" s="256"/>
      <c r="E47" s="256"/>
      <c r="F47" s="256"/>
      <c r="G47" s="256"/>
      <c r="H47" s="256"/>
      <c r="I47" s="256"/>
      <c r="J47" s="256"/>
      <c r="K47" s="257"/>
      <c r="L47" s="261" t="str">
        <f ca="1">IFERROR(VLOOKUP(LARGE(INDIRECT(VLOOKUP($A$5,'Start List'!$J$9:$Q$14,Data!AP6+4,FALSE)),Women!A47),'Start List'!$B$15:$V$139,7,FALSE)," ")</f>
        <v xml:space="preserve"> </v>
      </c>
      <c r="M47" s="2"/>
      <c r="N47" s="5"/>
      <c r="O47" s="11"/>
      <c r="P47" s="1"/>
      <c r="Q47" s="1"/>
      <c r="R47" s="1"/>
      <c r="S47" s="1"/>
      <c r="T47" s="1"/>
      <c r="U47" s="1"/>
      <c r="V47" s="1"/>
      <c r="W47" s="1"/>
      <c r="X47" s="1"/>
      <c r="Y47" s="1"/>
      <c r="Z47" s="1"/>
      <c r="AA47" s="1"/>
      <c r="AB47" s="1"/>
      <c r="BE47" s="287"/>
      <c r="BF47" s="283"/>
      <c r="BG47" s="283"/>
      <c r="BH47" s="283"/>
      <c r="BI47" s="283"/>
      <c r="BJ47" s="283"/>
      <c r="BK47" s="285"/>
    </row>
    <row r="48" spans="1:63" ht="6.75" customHeight="1" thickBot="1" x14ac:dyDescent="0.25">
      <c r="A48" s="270"/>
      <c r="B48" s="258"/>
      <c r="C48" s="259"/>
      <c r="D48" s="259"/>
      <c r="E48" s="259"/>
      <c r="F48" s="259"/>
      <c r="G48" s="259"/>
      <c r="H48" s="259"/>
      <c r="I48" s="259"/>
      <c r="J48" s="259"/>
      <c r="K48" s="260"/>
      <c r="L48" s="262"/>
      <c r="M48" s="14"/>
      <c r="BE48" s="288">
        <v>4</v>
      </c>
      <c r="BF48" s="283" t="str">
        <f ca="1">IF(BE65=" "," ",IF(BE65=AQ60,AR70,AR60))</f>
        <v>Iva Popović-Gecan</v>
      </c>
      <c r="BG48" s="283"/>
      <c r="BH48" s="283"/>
      <c r="BI48" s="283"/>
      <c r="BJ48" s="283"/>
      <c r="BK48" s="285" t="str">
        <f ca="1">IF(BE65=" "," ",IF(BE65=AQ60,BB70,BB60))</f>
        <v xml:space="preserve"> </v>
      </c>
    </row>
    <row r="49" spans="1:68" ht="6.75" customHeight="1" thickBot="1" x14ac:dyDescent="0.25">
      <c r="A49" s="263">
        <f ca="1">VLOOKUP(VLOOKUP($A$5,'Start List'!$J$9:$Q$14,8,FALSE)&amp;A47,Data!$D$2:$H$97,2,FALSE)</f>
        <v>25</v>
      </c>
      <c r="B49" s="274"/>
      <c r="C49" s="271"/>
      <c r="D49" s="271"/>
      <c r="E49" s="271"/>
      <c r="F49" s="271"/>
      <c r="G49" s="268">
        <f>IF(B49&gt;B51,2,IF(AND(B51=B49,B49&gt;0),1,0))</f>
        <v>0</v>
      </c>
      <c r="H49" s="268">
        <f>IF(C49&gt;C51,2,IF(AND(C51=C49,C49&gt;0),1,0))</f>
        <v>0</v>
      </c>
      <c r="I49" s="268">
        <f>IF(D49&gt;D51,2,IF(AND(D51=D49,D49&gt;0),1,0))</f>
        <v>0</v>
      </c>
      <c r="J49" s="268">
        <f>IF(E49&gt;E51,2,IF(AND(E51=E49,E49&gt;0),1,0))</f>
        <v>0</v>
      </c>
      <c r="K49" s="268">
        <f>IF(F49&gt;F51,2,IF(AND(F51=F49,F49&gt;0),1,0))</f>
        <v>0</v>
      </c>
      <c r="L49" s="272">
        <f>SUM(G49:K50)</f>
        <v>0</v>
      </c>
      <c r="M49" s="9"/>
      <c r="BE49" s="289"/>
      <c r="BF49" s="290"/>
      <c r="BG49" s="290"/>
      <c r="BH49" s="290"/>
      <c r="BI49" s="290"/>
      <c r="BJ49" s="290"/>
      <c r="BK49" s="291"/>
    </row>
    <row r="50" spans="1:68" ht="6.75" customHeight="1" x14ac:dyDescent="0.2">
      <c r="A50" s="263"/>
      <c r="B50" s="264"/>
      <c r="C50" s="266"/>
      <c r="D50" s="266"/>
      <c r="E50" s="266"/>
      <c r="F50" s="266"/>
      <c r="G50" s="269"/>
      <c r="H50" s="269"/>
      <c r="I50" s="269"/>
      <c r="J50" s="269"/>
      <c r="K50" s="269"/>
      <c r="L50" s="273"/>
      <c r="M50" s="15"/>
      <c r="O50" s="254">
        <f ca="1">IF(B53="bye to the next round",A47,IF(AND(L49&gt;L51,L49&gt;4),A47,IF(AND(L51&gt;L49,L51&gt;4),A53,IF(AND(L49=5,L51=5),MIN(A47,A53)," "))))</f>
        <v>2</v>
      </c>
      <c r="P50" s="255" t="str">
        <f ca="1">IF(O50=" "," ",IFERROR(VLOOKUP(LARGE(INDIRECT(VLOOKUP($A$5,'Start List'!$J$9:$Q$14,Data!AP6+4,FALSE)),O50),'Start List'!$B$15:$V$139,3,FALSE),"bye to the next round"))</f>
        <v>Oborovečki Mihaela</v>
      </c>
      <c r="Q50" s="256"/>
      <c r="R50" s="256"/>
      <c r="S50" s="256"/>
      <c r="T50" s="256"/>
      <c r="U50" s="256"/>
      <c r="V50" s="256"/>
      <c r="W50" s="256"/>
      <c r="X50" s="256"/>
      <c r="Y50" s="257"/>
      <c r="Z50" s="261" t="str">
        <f ca="1">IFERROR(VLOOKUP(LARGE(INDIRECT(VLOOKUP($A$5,'Start List'!$J$9:$Q$14,Data!AP6+4,FALSE)),Women!O50),'Start List'!$B$15:$V$139,7,FALSE)," ")</f>
        <v xml:space="preserve"> </v>
      </c>
      <c r="AA50" s="16"/>
      <c r="BE50" s="196">
        <f>Data!AW4</f>
        <v>44062</v>
      </c>
      <c r="BF50" s="197"/>
      <c r="BG50" s="197"/>
      <c r="BH50" s="197"/>
      <c r="BI50" s="197"/>
      <c r="BJ50" s="197"/>
      <c r="BK50" s="197"/>
      <c r="BM50" s="7">
        <v>1</v>
      </c>
      <c r="BN50" s="7" t="str">
        <f>L9&amp;":"&amp;L11</f>
        <v>0:0</v>
      </c>
      <c r="BO50" s="7" t="str">
        <f>Z14&amp;":"&amp;Z16</f>
        <v>6:2</v>
      </c>
      <c r="BP50" s="7" t="str">
        <f>AN24&amp;":"&amp;AN26</f>
        <v>5:1</v>
      </c>
    </row>
    <row r="51" spans="1:68" ht="6.75" customHeight="1" thickBot="1" x14ac:dyDescent="0.25">
      <c r="A51" s="263" t="str">
        <f>VLOOKUP(VLOOKUP($A$5,'Start List'!$J$9:$Q$14,8,FALSE)&amp;A53,Data!$D$2:$H$97,2,FALSE)</f>
        <v/>
      </c>
      <c r="B51" s="264"/>
      <c r="C51" s="266"/>
      <c r="D51" s="266"/>
      <c r="E51" s="266"/>
      <c r="F51" s="266"/>
      <c r="G51" s="268">
        <f>IF(B49&lt;B51,2,IF(AND(B51=B49,B51&gt;0),1,0))</f>
        <v>0</v>
      </c>
      <c r="H51" s="268">
        <f>IF(C49&lt;C51,2,IF(AND(C51=C49,C51&gt;0),1,0))</f>
        <v>0</v>
      </c>
      <c r="I51" s="268">
        <f>IF(D49&lt;D51,2,IF(AND(D51=D49,D51&gt;0),1,0))</f>
        <v>0</v>
      </c>
      <c r="J51" s="268">
        <f>IF(E49&lt;E51,2,IF(AND(E51=E49,E51&gt;0),1,0))</f>
        <v>0</v>
      </c>
      <c r="K51" s="268">
        <f>IF(F49&lt;F51,2,IF(AND(F51=F49,F51&gt;0),1,0))</f>
        <v>0</v>
      </c>
      <c r="L51" s="272">
        <f>SUM(G51:K52)</f>
        <v>0</v>
      </c>
      <c r="M51" s="15"/>
      <c r="N51" s="10"/>
      <c r="O51" s="254"/>
      <c r="P51" s="258"/>
      <c r="Q51" s="259"/>
      <c r="R51" s="259"/>
      <c r="S51" s="259"/>
      <c r="T51" s="259"/>
      <c r="U51" s="259"/>
      <c r="V51" s="259"/>
      <c r="W51" s="259"/>
      <c r="X51" s="259"/>
      <c r="Y51" s="260"/>
      <c r="Z51" s="262"/>
      <c r="AA51" s="12"/>
      <c r="BE51" s="199"/>
      <c r="BF51" s="199"/>
      <c r="BG51" s="199"/>
      <c r="BH51" s="199"/>
      <c r="BI51" s="199"/>
      <c r="BJ51" s="199"/>
      <c r="BK51" s="199"/>
      <c r="BM51" s="7">
        <v>2</v>
      </c>
      <c r="BN51" s="7" t="str">
        <f>L49&amp;":"&amp;L51</f>
        <v>0:0</v>
      </c>
      <c r="BO51" s="7" t="str">
        <f>Z54&amp;":"&amp;Z56</f>
        <v>5:3</v>
      </c>
      <c r="BP51" s="7" t="str">
        <f>AN64&amp;":"&amp;AN66</f>
        <v>6:2</v>
      </c>
    </row>
    <row r="52" spans="1:68" ht="6.75" customHeight="1" thickBot="1" x14ac:dyDescent="0.25">
      <c r="A52" s="263"/>
      <c r="B52" s="265"/>
      <c r="C52" s="267"/>
      <c r="D52" s="267"/>
      <c r="E52" s="267"/>
      <c r="F52" s="267"/>
      <c r="G52" s="269"/>
      <c r="H52" s="269"/>
      <c r="I52" s="269"/>
      <c r="J52" s="269"/>
      <c r="K52" s="269"/>
      <c r="L52" s="273"/>
      <c r="M52" s="15"/>
      <c r="O52" s="7"/>
      <c r="AA52" s="9"/>
      <c r="BC52" s="23"/>
      <c r="BE52" s="198">
        <f ca="1">Data!AW5</f>
        <v>44059.610003935188</v>
      </c>
      <c r="BF52" s="199"/>
      <c r="BG52" s="199"/>
      <c r="BH52" s="199"/>
      <c r="BI52" s="199"/>
      <c r="BJ52" s="199"/>
      <c r="BK52" s="199"/>
      <c r="BM52" s="7">
        <v>3</v>
      </c>
      <c r="BN52" s="7" t="str">
        <f>L69&amp;":"&amp;L71</f>
        <v>6:0</v>
      </c>
      <c r="BO52" s="7" t="str">
        <f>Z74&amp;":"&amp;Z76</f>
        <v>5:3</v>
      </c>
      <c r="BP52" s="7" t="str">
        <f>AN66&amp;":"&amp;AN64</f>
        <v>2:6</v>
      </c>
    </row>
    <row r="53" spans="1:68" ht="6.75" customHeight="1" x14ac:dyDescent="0.2">
      <c r="A53" s="254">
        <v>15</v>
      </c>
      <c r="B53" s="255" t="str">
        <f ca="1">IF(A53=" "," ",IFERROR(VLOOKUP(LARGE(INDIRECT(VLOOKUP($A$5,'Start List'!$J$9:$Q$14,Data!AP6+4,FALSE)),A53),'Start List'!$B$15:$V$139,3,FALSE),"bye to the next round"))</f>
        <v>bye to the next round</v>
      </c>
      <c r="C53" s="256"/>
      <c r="D53" s="256"/>
      <c r="E53" s="256"/>
      <c r="F53" s="256"/>
      <c r="G53" s="256"/>
      <c r="H53" s="256"/>
      <c r="I53" s="256"/>
      <c r="J53" s="256"/>
      <c r="K53" s="257"/>
      <c r="L53" s="261" t="str">
        <f ca="1">IFERROR(VLOOKUP(LARGE(INDIRECT(VLOOKUP($A$5,'Start List'!$J$9:$Q$14,Data!AP6+4,FALSE)),Women!A53),'Start List'!$B$15:$V$139,7,FALSE)," ")</f>
        <v xml:space="preserve"> </v>
      </c>
      <c r="M53" s="8"/>
      <c r="O53" s="7"/>
      <c r="AA53" s="9"/>
      <c r="BC53" s="23"/>
      <c r="BM53" s="7">
        <v>4</v>
      </c>
      <c r="BN53" s="7" t="str">
        <f>L29&amp;":"&amp;L31</f>
        <v>6:4</v>
      </c>
      <c r="BO53" s="7" t="str">
        <f>Z34&amp;":"&amp;Z36</f>
        <v>6:2</v>
      </c>
      <c r="BP53" s="7" t="str">
        <f>AN26&amp;":"&amp;AN24</f>
        <v>1:5</v>
      </c>
    </row>
    <row r="54" spans="1:68" ht="6.75" customHeight="1" thickBot="1" x14ac:dyDescent="0.25">
      <c r="A54" s="254"/>
      <c r="B54" s="258"/>
      <c r="C54" s="259"/>
      <c r="D54" s="259"/>
      <c r="E54" s="259"/>
      <c r="F54" s="259"/>
      <c r="G54" s="259"/>
      <c r="H54" s="259"/>
      <c r="I54" s="259"/>
      <c r="J54" s="259"/>
      <c r="K54" s="260"/>
      <c r="L54" s="262"/>
      <c r="M54" s="13"/>
      <c r="O54" s="263">
        <f ca="1">VLOOKUP(VLOOKUP($A$5,'Start List'!$J$9:$Q$14,8,FALSE)&amp;A47,Data!$D$2:$H$97,3,FALSE)</f>
        <v>14</v>
      </c>
      <c r="P54" s="266">
        <v>30</v>
      </c>
      <c r="Q54" s="266">
        <v>29</v>
      </c>
      <c r="R54" s="266">
        <v>29</v>
      </c>
      <c r="S54" s="266">
        <v>29</v>
      </c>
      <c r="T54" s="266"/>
      <c r="U54" s="269">
        <f>IF(P54&gt;P56,2,IF(AND(P56=P54,P54&gt;0),1,0))</f>
        <v>2</v>
      </c>
      <c r="V54" s="269">
        <f>IF(Q54&gt;Q56,2,IF(AND(Q56=Q54,Q54&gt;0),1,0))</f>
        <v>2</v>
      </c>
      <c r="W54" s="269">
        <f>IF(R54&gt;R56,2,IF(AND(R56=R54,R54&gt;0),1,0))</f>
        <v>0</v>
      </c>
      <c r="X54" s="269">
        <f>IF(S54&gt;S56,2,IF(AND(S56=S54,S54&gt;0),1,0))</f>
        <v>1</v>
      </c>
      <c r="Y54" s="269">
        <f>IF(T54&gt;T56,2,IF(AND(T56=T54,T54&gt;0),1,0))</f>
        <v>0</v>
      </c>
      <c r="Z54" s="277">
        <f>SUM(U54:Y55)</f>
        <v>5</v>
      </c>
      <c r="AA54" s="9"/>
      <c r="BC54" s="23"/>
      <c r="BM54" s="7">
        <v>5</v>
      </c>
      <c r="BN54" s="7" t="str">
        <f>L39&amp;":"&amp;L41</f>
        <v>2:6</v>
      </c>
      <c r="BO54" s="7" t="str">
        <f>Z36&amp;":"&amp;Z34</f>
        <v>2:6</v>
      </c>
      <c r="BP54" s="7" t="str">
        <f>BP53</f>
        <v>1:5</v>
      </c>
    </row>
    <row r="55" spans="1:68" ht="6.75" customHeight="1" x14ac:dyDescent="0.2">
      <c r="A55" s="30"/>
      <c r="O55" s="263"/>
      <c r="P55" s="266"/>
      <c r="Q55" s="266"/>
      <c r="R55" s="266"/>
      <c r="S55" s="266"/>
      <c r="T55" s="266"/>
      <c r="U55" s="269"/>
      <c r="V55" s="269"/>
      <c r="W55" s="269"/>
      <c r="X55" s="269"/>
      <c r="Y55" s="269"/>
      <c r="Z55" s="277"/>
      <c r="AA55" s="9"/>
      <c r="AC55" s="254">
        <f ca="1">IF(P60="bye to the next round",O50,IF(AND(Z54&gt;Z56,Z54&gt;4),O50,IF(AND(Z56&gt;Z54,Z56&gt;4),O60,IF(AND(Z54=5,Z56=5),MIN(O50,O60)," "))))</f>
        <v>2</v>
      </c>
      <c r="AD55" s="292" t="str">
        <f ca="1">IF(AC55=" "," ",IFERROR(VLOOKUP(LARGE(INDIRECT(VLOOKUP($A$5,'Start List'!$J$9:$Q$14,Data!AP6+4,FALSE)),AC55),'Start List'!$B$15:$V$139,3,FALSE),"bye to the next round"))</f>
        <v>Oborovečki Mihaela</v>
      </c>
      <c r="AE55" s="293"/>
      <c r="AF55" s="293"/>
      <c r="AG55" s="293"/>
      <c r="AH55" s="293"/>
      <c r="AI55" s="293"/>
      <c r="AJ55" s="293"/>
      <c r="AK55" s="293"/>
      <c r="AL55" s="293"/>
      <c r="AM55" s="294"/>
      <c r="AN55" s="261" t="str">
        <f ca="1">IFERROR(VLOOKUP(LARGE(INDIRECT(VLOOKUP($A$5,'Start List'!$J$9:$Q$14,Data!AP6+4,FALSE)),Women!AC55),'Start List'!$B$15:$V$139,7,FALSE)," ")</f>
        <v xml:space="preserve"> </v>
      </c>
      <c r="BC55" s="23"/>
      <c r="BM55" s="7">
        <v>6</v>
      </c>
      <c r="BN55" s="7" t="str">
        <f>L79&amp;":"&amp;L81</f>
        <v>4:6</v>
      </c>
      <c r="BO55" s="7" t="str">
        <f>Z76&amp;":"&amp;Z74</f>
        <v>3:5</v>
      </c>
      <c r="BP55" s="7" t="str">
        <f>BP52</f>
        <v>2:6</v>
      </c>
    </row>
    <row r="56" spans="1:68" ht="6.75" customHeight="1" thickBot="1" x14ac:dyDescent="0.25">
      <c r="A56" s="29"/>
      <c r="B56" s="29"/>
      <c r="C56" s="29"/>
      <c r="D56" s="29"/>
      <c r="E56" s="29"/>
      <c r="F56" s="29"/>
      <c r="G56" s="29"/>
      <c r="H56" s="29"/>
      <c r="I56" s="29"/>
      <c r="J56" s="29"/>
      <c r="K56" s="29"/>
      <c r="L56" s="29"/>
      <c r="M56" s="29"/>
      <c r="N56" s="29"/>
      <c r="O56" s="263">
        <f ca="1">VLOOKUP(VLOOKUP($A$5,'Start List'!$J$9:$Q$14,8,FALSE)&amp;A63,Data!$D$2:$H$97,3,FALSE)</f>
        <v>15</v>
      </c>
      <c r="P56" s="266">
        <v>25</v>
      </c>
      <c r="Q56" s="266">
        <v>26</v>
      </c>
      <c r="R56" s="266">
        <v>30</v>
      </c>
      <c r="S56" s="266">
        <v>29</v>
      </c>
      <c r="T56" s="266"/>
      <c r="U56" s="269">
        <f>IF(P54&lt;P56,2,IF(AND(P56=P54,P56&gt;0),1,0))</f>
        <v>0</v>
      </c>
      <c r="V56" s="269">
        <f>IF(Q54&lt;Q56,2,IF(AND(Q56=Q54,Q56&gt;0),1,0))</f>
        <v>0</v>
      </c>
      <c r="W56" s="269">
        <f>IF(R54&lt;R56,2,IF(AND(R56=R54,R56&gt;0),1,0))</f>
        <v>2</v>
      </c>
      <c r="X56" s="269">
        <f>IF(S54&lt;S56,2,IF(AND(S56=S54,S56&gt;0),1,0))</f>
        <v>1</v>
      </c>
      <c r="Y56" s="269">
        <f>IF(T54&lt;T56,2,IF(AND(T56=T54,T56&gt;0),1,0))</f>
        <v>0</v>
      </c>
      <c r="Z56" s="277">
        <f>SUM(U56:Y57)</f>
        <v>3</v>
      </c>
      <c r="AA56" s="17"/>
      <c r="AB56" s="19"/>
      <c r="AC56" s="254"/>
      <c r="AD56" s="295"/>
      <c r="AE56" s="296"/>
      <c r="AF56" s="296"/>
      <c r="AG56" s="296"/>
      <c r="AH56" s="296"/>
      <c r="AI56" s="296"/>
      <c r="AJ56" s="296"/>
      <c r="AK56" s="296"/>
      <c r="AL56" s="296"/>
      <c r="AM56" s="297"/>
      <c r="AN56" s="262"/>
      <c r="AO56" s="14"/>
      <c r="BC56" s="23"/>
      <c r="BM56" s="7">
        <v>7</v>
      </c>
      <c r="BN56" s="7" t="str">
        <f>L59&amp;":"&amp;L61</f>
        <v>6:4</v>
      </c>
      <c r="BO56" s="7" t="str">
        <f>Z56&amp;":"&amp;Z54</f>
        <v>3:5</v>
      </c>
      <c r="BP56" s="7" t="str">
        <f>BP51</f>
        <v>6:2</v>
      </c>
    </row>
    <row r="57" spans="1:68" ht="6.75" customHeight="1" x14ac:dyDescent="0.2">
      <c r="A57" s="254">
        <v>7</v>
      </c>
      <c r="B57" s="255" t="str">
        <f ca="1">IF(A57=" "," ",IFERROR(VLOOKUP(LARGE(INDIRECT(VLOOKUP($A$5,'Start List'!$J$9:$Q$14,Data!AP6+4,FALSE)),A57),'Start List'!$B$15:$V$139,3,FALSE),"bye to the next round"))</f>
        <v>Nedělníková Jaroslava</v>
      </c>
      <c r="C57" s="256"/>
      <c r="D57" s="256"/>
      <c r="E57" s="256"/>
      <c r="F57" s="256"/>
      <c r="G57" s="256"/>
      <c r="H57" s="256"/>
      <c r="I57" s="256"/>
      <c r="J57" s="256"/>
      <c r="K57" s="257"/>
      <c r="L57" s="261" t="str">
        <f ca="1">IFERROR(VLOOKUP(LARGE(INDIRECT(VLOOKUP($A$5,'Start List'!$J$9:$Q$14,Data!AP6+4,FALSE)),Women!A57),'Start List'!$B$15:$V$139,7,FALSE)," ")</f>
        <v xml:space="preserve"> </v>
      </c>
      <c r="M57" s="2"/>
      <c r="N57" s="5"/>
      <c r="O57" s="263"/>
      <c r="P57" s="266"/>
      <c r="Q57" s="266"/>
      <c r="R57" s="266"/>
      <c r="S57" s="266"/>
      <c r="T57" s="266"/>
      <c r="U57" s="269"/>
      <c r="V57" s="269"/>
      <c r="W57" s="269"/>
      <c r="X57" s="269"/>
      <c r="Y57" s="269"/>
      <c r="Z57" s="277"/>
      <c r="AA57" s="18"/>
      <c r="AB57" s="1"/>
      <c r="AO57" s="9"/>
      <c r="AQ57" s="278" t="str">
        <f>VLOOKUP("BMM",Translation!$A$1:$E$57,Data!$AP$2,FALSE)</f>
        <v>Bronze Medal Match</v>
      </c>
      <c r="AR57" s="278"/>
      <c r="AS57" s="278"/>
      <c r="AT57" s="278"/>
      <c r="AU57" s="278"/>
      <c r="AV57" s="278"/>
      <c r="AW57" s="278"/>
      <c r="AX57" s="278"/>
      <c r="AY57" s="278"/>
      <c r="AZ57" s="278"/>
      <c r="BA57" s="278"/>
      <c r="BB57" s="278"/>
      <c r="BC57" s="23"/>
      <c r="BM57" s="7">
        <v>8</v>
      </c>
      <c r="BN57" s="7" t="str">
        <f>L19&amp;":"&amp;L21</f>
        <v>5:1</v>
      </c>
      <c r="BO57" s="7" t="str">
        <f>Z16&amp;":"&amp;Z14</f>
        <v>2:6</v>
      </c>
      <c r="BP57" s="7" t="str">
        <f>BP50</f>
        <v>5:1</v>
      </c>
    </row>
    <row r="58" spans="1:68" ht="6.75" customHeight="1" thickBot="1" x14ac:dyDescent="0.25">
      <c r="A58" s="270"/>
      <c r="B58" s="258"/>
      <c r="C58" s="259"/>
      <c r="D58" s="259"/>
      <c r="E58" s="259"/>
      <c r="F58" s="259"/>
      <c r="G58" s="259"/>
      <c r="H58" s="259"/>
      <c r="I58" s="259"/>
      <c r="J58" s="259"/>
      <c r="K58" s="260"/>
      <c r="L58" s="262"/>
      <c r="M58" s="14"/>
      <c r="AA58" s="9"/>
      <c r="AO58" s="9"/>
      <c r="AQ58" s="278"/>
      <c r="AR58" s="278"/>
      <c r="AS58" s="278"/>
      <c r="AT58" s="278"/>
      <c r="AU58" s="278"/>
      <c r="AV58" s="278"/>
      <c r="AW58" s="278"/>
      <c r="AX58" s="278"/>
      <c r="AY58" s="278"/>
      <c r="AZ58" s="278"/>
      <c r="BA58" s="278"/>
      <c r="BB58" s="278"/>
      <c r="BC58" s="23"/>
      <c r="BM58" s="7">
        <v>9</v>
      </c>
      <c r="BN58" s="7" t="str">
        <f>L21&amp;":"&amp;L19</f>
        <v>1:5</v>
      </c>
      <c r="BO58" s="7" t="str">
        <f>BO57</f>
        <v>2:6</v>
      </c>
      <c r="BP58" s="7" t="str">
        <f>BP50</f>
        <v>5:1</v>
      </c>
    </row>
    <row r="59" spans="1:68" ht="6.75" customHeight="1" thickBot="1" x14ac:dyDescent="0.25">
      <c r="A59" s="263">
        <f ca="1">VLOOKUP(VLOOKUP($A$5,'Start List'!$J$9:$Q$14,8,FALSE)&amp;A57,Data!$D$2:$H$97,2,FALSE)</f>
        <v>26</v>
      </c>
      <c r="B59" s="274">
        <v>29</v>
      </c>
      <c r="C59" s="271">
        <v>28</v>
      </c>
      <c r="D59" s="271">
        <v>28</v>
      </c>
      <c r="E59" s="271">
        <v>24</v>
      </c>
      <c r="F59" s="271">
        <v>26</v>
      </c>
      <c r="G59" s="268">
        <f>IF(B59&gt;B61,2,IF(AND(B61=B59,B59&gt;0),1,0))</f>
        <v>2</v>
      </c>
      <c r="H59" s="268">
        <f>IF(C59&gt;C61,2,IF(AND(C61=C59,C59&gt;0),1,0))</f>
        <v>0</v>
      </c>
      <c r="I59" s="268">
        <f>IF(D59&gt;D61,2,IF(AND(D61=D59,D59&gt;0),1,0))</f>
        <v>2</v>
      </c>
      <c r="J59" s="268">
        <f>IF(E59&gt;E61,2,IF(AND(E61=E59,E59&gt;0),1,0))</f>
        <v>0</v>
      </c>
      <c r="K59" s="268">
        <f>IF(F59&gt;F61,2,IF(AND(F61=F59,F59&gt;0),1,0))</f>
        <v>2</v>
      </c>
      <c r="L59" s="272">
        <f>SUM(G59:K60)</f>
        <v>6</v>
      </c>
      <c r="M59" s="9"/>
      <c r="AA59" s="9"/>
      <c r="AO59" s="9"/>
      <c r="BM59" s="7">
        <v>10</v>
      </c>
      <c r="BN59" s="7" t="str">
        <f>L61&amp;":"&amp;L59</f>
        <v>4:6</v>
      </c>
      <c r="BO59" s="7" t="str">
        <f>BO56</f>
        <v>3:5</v>
      </c>
      <c r="BP59" s="7" t="str">
        <f t="shared" ref="BP59:BP65" si="0">BP51</f>
        <v>6:2</v>
      </c>
    </row>
    <row r="60" spans="1:68" ht="6.75" customHeight="1" x14ac:dyDescent="0.2">
      <c r="A60" s="263"/>
      <c r="B60" s="264"/>
      <c r="C60" s="266"/>
      <c r="D60" s="266"/>
      <c r="E60" s="266"/>
      <c r="F60" s="266"/>
      <c r="G60" s="269"/>
      <c r="H60" s="269"/>
      <c r="I60" s="269"/>
      <c r="J60" s="269"/>
      <c r="K60" s="269"/>
      <c r="L60" s="273"/>
      <c r="M60" s="15"/>
      <c r="O60" s="254">
        <f ca="1">IF(B63="bye to the next round",A57,IF(AND(L59&gt;L61,L59&gt;4),A57,IF(AND(L61&gt;L59,L61&gt;4),A63,IF(AND(L59=5,L61=5),MIN(A57,A63)," "))))</f>
        <v>7</v>
      </c>
      <c r="P60" s="255" t="str">
        <f ca="1">IF(O60=" "," ",IFERROR(VLOOKUP(LARGE(INDIRECT(VLOOKUP($A$5,'Start List'!$J$9:$Q$14,Data!AP6+4,FALSE)),O60),'Start List'!$B$15:$V$139,3,FALSE),"bye to the next round"))</f>
        <v>Nedělníková Jaroslava</v>
      </c>
      <c r="Q60" s="256"/>
      <c r="R60" s="256"/>
      <c r="S60" s="256"/>
      <c r="T60" s="256"/>
      <c r="U60" s="256"/>
      <c r="V60" s="256"/>
      <c r="W60" s="256"/>
      <c r="X60" s="256"/>
      <c r="Y60" s="257"/>
      <c r="Z60" s="261" t="str">
        <f ca="1">IFERROR(VLOOKUP(LARGE(INDIRECT(VLOOKUP($A$5,'Start List'!$J$9:$Q$14,Data!AP6+4,FALSE)),Women!O60),'Start List'!$B$15:$V$139,7,FALSE)," ")</f>
        <v xml:space="preserve"> </v>
      </c>
      <c r="AA60" s="8"/>
      <c r="AO60" s="9"/>
      <c r="AQ60" s="254">
        <f ca="1">IF(AND(AN24&gt;AN26,AN24&gt;4),AC35,IF(AND(AN26&gt;AN24,AN26&gt;4),AC15,IF(AND(AN24=5,AN26=5),MAX(AC15,AC35)," ")))</f>
        <v>4</v>
      </c>
      <c r="AR60" s="255" t="str">
        <f ca="1">IF(AQ60=" "," ",IFERROR(VLOOKUP(LARGE(INDIRECT(VLOOKUP($A$5,'Start List'!$J$9:$Q$14,Data!AP6+4,FALSE)),AQ60),'Start List'!$B$15:$V$139,3,FALSE),"bye to the next round"))</f>
        <v>Iva Popović-Gecan</v>
      </c>
      <c r="AS60" s="256"/>
      <c r="AT60" s="256"/>
      <c r="AU60" s="256"/>
      <c r="AV60" s="256"/>
      <c r="AW60" s="256"/>
      <c r="AX60" s="256"/>
      <c r="AY60" s="256"/>
      <c r="AZ60" s="256"/>
      <c r="BA60" s="257"/>
      <c r="BB60" s="261" t="str">
        <f ca="1">IFERROR(VLOOKUP(LARGE(INDIRECT(VLOOKUP($A$5,'Start List'!$J$9:$Q$14,Data!AP6+4,FALSE)),Women!AQ60),'Start List'!$B$15:$V$139,7,FALSE)," ")</f>
        <v xml:space="preserve"> </v>
      </c>
      <c r="BC60" s="16"/>
      <c r="BM60" s="7">
        <v>11</v>
      </c>
      <c r="BN60" s="7" t="str">
        <f>L81&amp;":"&amp;L79</f>
        <v>6:4</v>
      </c>
      <c r="BO60" s="7" t="str">
        <f>BO55</f>
        <v>3:5</v>
      </c>
      <c r="BP60" s="7" t="str">
        <f t="shared" si="0"/>
        <v>2:6</v>
      </c>
    </row>
    <row r="61" spans="1:68" ht="6.75" customHeight="1" thickBot="1" x14ac:dyDescent="0.25">
      <c r="A61" s="263">
        <f ca="1">VLOOKUP(VLOOKUP($A$5,'Start List'!$J$9:$Q$14,8,FALSE)&amp;A63,Data!$D$2:$H$97,2,FALSE)</f>
        <v>27</v>
      </c>
      <c r="B61" s="264">
        <v>27</v>
      </c>
      <c r="C61" s="266">
        <v>29</v>
      </c>
      <c r="D61" s="266">
        <v>27</v>
      </c>
      <c r="E61" s="266">
        <v>27</v>
      </c>
      <c r="F61" s="266">
        <v>24</v>
      </c>
      <c r="G61" s="268">
        <f>IF(B59&lt;B61,2,IF(AND(B61=B59,B61&gt;0),1,0))</f>
        <v>0</v>
      </c>
      <c r="H61" s="268">
        <f>IF(C59&lt;C61,2,IF(AND(C61=C59,C61&gt;0),1,0))</f>
        <v>2</v>
      </c>
      <c r="I61" s="268">
        <f>IF(D59&lt;D61,2,IF(AND(D61=D59,D61&gt;0),1,0))</f>
        <v>0</v>
      </c>
      <c r="J61" s="268">
        <f>IF(E59&lt;E61,2,IF(AND(E61=E59,E61&gt;0),1,0))</f>
        <v>2</v>
      </c>
      <c r="K61" s="268">
        <f>IF(F59&lt;F61,2,IF(AND(F61=F59,F61&gt;0),1,0))</f>
        <v>0</v>
      </c>
      <c r="L61" s="272">
        <f>SUM(G61:K62)</f>
        <v>4</v>
      </c>
      <c r="M61" s="15"/>
      <c r="N61" s="10"/>
      <c r="O61" s="254"/>
      <c r="P61" s="258"/>
      <c r="Q61" s="259"/>
      <c r="R61" s="259"/>
      <c r="S61" s="259"/>
      <c r="T61" s="259"/>
      <c r="U61" s="259"/>
      <c r="V61" s="259"/>
      <c r="W61" s="259"/>
      <c r="X61" s="259"/>
      <c r="Y61" s="260"/>
      <c r="Z61" s="262"/>
      <c r="AA61" s="13"/>
      <c r="AO61" s="9"/>
      <c r="AQ61" s="254"/>
      <c r="AR61" s="258"/>
      <c r="AS61" s="259"/>
      <c r="AT61" s="259"/>
      <c r="AU61" s="259"/>
      <c r="AV61" s="259"/>
      <c r="AW61" s="259"/>
      <c r="AX61" s="259"/>
      <c r="AY61" s="259"/>
      <c r="AZ61" s="259"/>
      <c r="BA61" s="260"/>
      <c r="BB61" s="262"/>
      <c r="BC61" s="9"/>
      <c r="BM61" s="7">
        <v>12</v>
      </c>
      <c r="BN61" s="7" t="str">
        <f>L41&amp;":"&amp;L39</f>
        <v>6:2</v>
      </c>
      <c r="BO61" s="7" t="str">
        <f>BO54</f>
        <v>2:6</v>
      </c>
      <c r="BP61" s="7" t="str">
        <f t="shared" si="0"/>
        <v>1:5</v>
      </c>
    </row>
    <row r="62" spans="1:68" ht="6.75" customHeight="1" thickBot="1" x14ac:dyDescent="0.25">
      <c r="A62" s="263"/>
      <c r="B62" s="265"/>
      <c r="C62" s="267"/>
      <c r="D62" s="267"/>
      <c r="E62" s="267"/>
      <c r="F62" s="267"/>
      <c r="G62" s="269"/>
      <c r="H62" s="269"/>
      <c r="I62" s="269"/>
      <c r="J62" s="269"/>
      <c r="K62" s="269"/>
      <c r="L62" s="273"/>
      <c r="M62" s="15"/>
      <c r="O62" s="7"/>
      <c r="AO62" s="9"/>
      <c r="BC62" s="26"/>
      <c r="BD62" s="5"/>
      <c r="BM62" s="7">
        <v>13</v>
      </c>
      <c r="BN62" s="7" t="str">
        <f>L31&amp;":"&amp;L29</f>
        <v>4:6</v>
      </c>
      <c r="BO62" s="7" t="str">
        <f>BO53</f>
        <v>6:2</v>
      </c>
      <c r="BP62" s="7" t="str">
        <f t="shared" si="0"/>
        <v>1:5</v>
      </c>
    </row>
    <row r="63" spans="1:68" ht="6.75" customHeight="1" x14ac:dyDescent="0.2">
      <c r="A63" s="254">
        <v>10</v>
      </c>
      <c r="B63" s="255" t="str">
        <f ca="1">IF(A63=" "," ",IFERROR(VLOOKUP(LARGE(INDIRECT(VLOOKUP($A$5,'Start List'!$J$9:$Q$14,Data!AP6+4,FALSE)),A63),'Start List'!$B$15:$V$139,3,FALSE),"bye to the next round"))</f>
        <v>Hynková Karolína</v>
      </c>
      <c r="C63" s="256"/>
      <c r="D63" s="256"/>
      <c r="E63" s="256"/>
      <c r="F63" s="256"/>
      <c r="G63" s="256"/>
      <c r="H63" s="256"/>
      <c r="I63" s="256"/>
      <c r="J63" s="256"/>
      <c r="K63" s="257"/>
      <c r="L63" s="261" t="str">
        <f ca="1">IFERROR(VLOOKUP(LARGE(INDIRECT(VLOOKUP($A$5,'Start List'!$J$9:$Q$14,Data!AP6+4,FALSE)),Women!A63),'Start List'!$B$15:$V$139,7,FALSE)," ")</f>
        <v xml:space="preserve"> </v>
      </c>
      <c r="M63" s="8"/>
      <c r="O63" s="7"/>
      <c r="AO63" s="9"/>
      <c r="BC63" s="9"/>
      <c r="BM63" s="7">
        <v>14</v>
      </c>
      <c r="BN63" s="7" t="str">
        <f>L71&amp;":"&amp;L69</f>
        <v>0:6</v>
      </c>
      <c r="BO63" s="7" t="str">
        <f>BO52</f>
        <v>5:3</v>
      </c>
      <c r="BP63" s="7" t="str">
        <f t="shared" si="0"/>
        <v>2:6</v>
      </c>
    </row>
    <row r="64" spans="1:68" ht="6.75" customHeight="1" thickBot="1" x14ac:dyDescent="0.25">
      <c r="A64" s="254"/>
      <c r="B64" s="258"/>
      <c r="C64" s="259"/>
      <c r="D64" s="259"/>
      <c r="E64" s="259"/>
      <c r="F64" s="259"/>
      <c r="G64" s="259"/>
      <c r="H64" s="259"/>
      <c r="I64" s="259"/>
      <c r="J64" s="259"/>
      <c r="K64" s="260"/>
      <c r="L64" s="262"/>
      <c r="M64" s="13"/>
      <c r="AC64" s="263">
        <f>VLOOKUP(VLOOKUP($A$5,'Start List'!$J$9:$Q$14,8,FALSE)&amp;A47,Data!$D$2:$H$97,4,FALSE)</f>
        <v>11</v>
      </c>
      <c r="AD64" s="266">
        <v>29</v>
      </c>
      <c r="AE64" s="266">
        <v>30</v>
      </c>
      <c r="AF64" s="266">
        <v>28</v>
      </c>
      <c r="AG64" s="266">
        <v>29</v>
      </c>
      <c r="AH64" s="266"/>
      <c r="AI64" s="269">
        <f>IF(AD64&gt;AD66,2,IF(AND(AD66=AD64,AD64&gt;0),1,0))</f>
        <v>2</v>
      </c>
      <c r="AJ64" s="269">
        <f>IF(AE64&gt;AE66,2,IF(AND(AE66=AE64,AE64&gt;0),1,0))</f>
        <v>2</v>
      </c>
      <c r="AK64" s="269">
        <f>IF(AF64&gt;AF66,2,IF(AND(AF66=AF64,AF64&gt;0),1,0))</f>
        <v>0</v>
      </c>
      <c r="AL64" s="269">
        <f>IF(AG64&gt;AG66,2,IF(AND(AG66=AG64,AG64&gt;0),1,0))</f>
        <v>2</v>
      </c>
      <c r="AM64" s="269">
        <f>IF(AH64&gt;AH66,2,IF(AND(AH66=AH64,AH64&gt;0),1,0))</f>
        <v>0</v>
      </c>
      <c r="AN64" s="277">
        <f>SUM(AI64:AM65)</f>
        <v>6</v>
      </c>
      <c r="AO64" s="9"/>
      <c r="AQ64" s="263">
        <f>VLOOKUP(VLOOKUP($A$5,'Start List'!$J$9:$Q$14,8,FALSE)&amp;A7,Data!$D$2:$H$97,5,FALSE)</f>
        <v>5</v>
      </c>
      <c r="AR64" s="266">
        <v>23</v>
      </c>
      <c r="AS64" s="266">
        <v>26</v>
      </c>
      <c r="AT64" s="266">
        <v>28</v>
      </c>
      <c r="AU64" s="266">
        <v>30</v>
      </c>
      <c r="AV64" s="266">
        <v>26</v>
      </c>
      <c r="AW64" s="269">
        <f>IF(AR64&gt;AR66,2,IF(AND(AR66=AR64,AR64&gt;0),1,0))</f>
        <v>0</v>
      </c>
      <c r="AX64" s="269">
        <f>IF(AS64&gt;AS66,2,IF(AND(AS66=AS64,AS64&gt;0),1,0))</f>
        <v>0</v>
      </c>
      <c r="AY64" s="269">
        <f>IF(AT64&gt;AT66,2,IF(AND(AT66=AT64,AT64&gt;0),1,0))</f>
        <v>2</v>
      </c>
      <c r="AZ64" s="269">
        <f>IF(AU64&gt;AU66,2,IF(AND(AU66=AU64,AU64&gt;0),1,0))</f>
        <v>2</v>
      </c>
      <c r="BA64" s="269">
        <f>IF(AV64&gt;AV66,2,IF(AND(AV66=AV64,AV64&gt;0),1,0))</f>
        <v>0</v>
      </c>
      <c r="BB64" s="277">
        <f>SUM(AW64:BA65)</f>
        <v>4</v>
      </c>
      <c r="BC64" s="9"/>
      <c r="BM64" s="7">
        <v>15</v>
      </c>
      <c r="BN64" s="7" t="str">
        <f>L51&amp;":"&amp;L49</f>
        <v>0:0</v>
      </c>
      <c r="BO64" s="7" t="str">
        <f>BO51</f>
        <v>5:3</v>
      </c>
      <c r="BP64" s="7" t="str">
        <f t="shared" si="0"/>
        <v>6:2</v>
      </c>
    </row>
    <row r="65" spans="1:72" ht="6.75" customHeight="1" x14ac:dyDescent="0.2">
      <c r="A65" s="30"/>
      <c r="AC65" s="263"/>
      <c r="AD65" s="266"/>
      <c r="AE65" s="266"/>
      <c r="AF65" s="266"/>
      <c r="AG65" s="266"/>
      <c r="AH65" s="266"/>
      <c r="AI65" s="269"/>
      <c r="AJ65" s="269"/>
      <c r="AK65" s="269"/>
      <c r="AL65" s="269"/>
      <c r="AM65" s="269"/>
      <c r="AN65" s="277"/>
      <c r="AO65" s="9"/>
      <c r="AQ65" s="263"/>
      <c r="AR65" s="266"/>
      <c r="AS65" s="266"/>
      <c r="AT65" s="266"/>
      <c r="AU65" s="266"/>
      <c r="AV65" s="266"/>
      <c r="AW65" s="269"/>
      <c r="AX65" s="269"/>
      <c r="AY65" s="269"/>
      <c r="AZ65" s="269"/>
      <c r="BA65" s="269"/>
      <c r="BB65" s="277"/>
      <c r="BC65" s="15"/>
      <c r="BE65" s="254">
        <f ca="1">IF(AND(BB64&gt;BB66,BB64&gt;4),AQ60,IF(AND(BB66&gt;BB64,BB66&gt;4),AQ70,IF(AND(BB64=5,BB66=5),MIN(AQ60,AQ70)," ")))</f>
        <v>3</v>
      </c>
      <c r="BF65" s="279" t="str">
        <f ca="1">IF(BE65=" "," ",IFERROR(VLOOKUP(LARGE(INDIRECT(VLOOKUP($A$5,'Start List'!$J$9:$Q$14,Data!AP6+4,FALSE)),BE65),'Start List'!$B$15:$V$139,3,FALSE),"bye to the next round"))</f>
        <v>Karla Bartolović</v>
      </c>
      <c r="BG65" s="256"/>
      <c r="BH65" s="256"/>
      <c r="BI65" s="256"/>
      <c r="BJ65" s="257"/>
      <c r="BK65" s="261" t="str">
        <f ca="1">IFERROR(VLOOKUP(LARGE(INDIRECT(VLOOKUP($A$5,'Start List'!$J$9:$Q$14,Data!AP6+4,FALSE)),BE65),'Start List'!$B$15:$V$139,7,FALSE)," ")</f>
        <v xml:space="preserve"> </v>
      </c>
      <c r="BM65" s="7">
        <v>16</v>
      </c>
      <c r="BN65" s="7" t="str">
        <f>L11&amp;":"&amp;L9</f>
        <v>0:0</v>
      </c>
      <c r="BO65" s="7" t="str">
        <f>BO50</f>
        <v>6:2</v>
      </c>
      <c r="BP65" s="7" t="str">
        <f t="shared" si="0"/>
        <v>5:1</v>
      </c>
    </row>
    <row r="66" spans="1:72" ht="6.75" customHeight="1" thickBo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63">
        <f>VLOOKUP(VLOOKUP($A$5,'Start List'!$J$9:$Q$14,8,FALSE)&amp;A83,Data!$D$2:$H$97,4,FALSE)</f>
        <v>12</v>
      </c>
      <c r="AD66" s="266">
        <v>27</v>
      </c>
      <c r="AE66" s="266">
        <v>28</v>
      </c>
      <c r="AF66" s="266">
        <v>29</v>
      </c>
      <c r="AG66" s="266">
        <v>28</v>
      </c>
      <c r="AH66" s="266"/>
      <c r="AI66" s="269">
        <f>IF(AD64&lt;AD66,2,IF(AND(AD66=AD64,AD66&gt;0),1,0))</f>
        <v>0</v>
      </c>
      <c r="AJ66" s="269">
        <f>IF(AE64&lt;AE66,2,IF(AND(AE66=AE64,AE66&gt;0),1,0))</f>
        <v>0</v>
      </c>
      <c r="AK66" s="269">
        <f>IF(AF64&lt;AF66,2,IF(AND(AF66=AF64,AF66&gt;0),1,0))</f>
        <v>2</v>
      </c>
      <c r="AL66" s="269">
        <f>IF(AG64&lt;AG66,2,IF(AND(AG66=AG64,AG66&gt;0),1,0))</f>
        <v>0</v>
      </c>
      <c r="AM66" s="269">
        <f>IF(AH64&lt;AH66,2,IF(AND(AH66=AH64,AH66&gt;0),1,0))</f>
        <v>0</v>
      </c>
      <c r="AN66" s="277">
        <f>SUM(AI66:AM67)</f>
        <v>2</v>
      </c>
      <c r="AO66" s="9"/>
      <c r="AP66" s="24"/>
      <c r="AQ66" s="263">
        <f>VLOOKUP(VLOOKUP($A$5,'Start List'!$J$9:$Q$14,8,FALSE)&amp;A47,Data!$D$2:$H$97,5,FALSE)</f>
        <v>6</v>
      </c>
      <c r="AR66" s="266">
        <v>26</v>
      </c>
      <c r="AS66" s="266">
        <v>28</v>
      </c>
      <c r="AT66" s="266">
        <v>26</v>
      </c>
      <c r="AU66" s="266">
        <v>28</v>
      </c>
      <c r="AV66" s="266">
        <v>30</v>
      </c>
      <c r="AW66" s="269">
        <f>IF(AR64&lt;AR66,2,IF(AND(AR66=AR64,AR66&gt;0),1,0))</f>
        <v>2</v>
      </c>
      <c r="AX66" s="269">
        <f>IF(AS64&lt;AS66,2,IF(AND(AS66=AS64,AS66&gt;0),1,0))</f>
        <v>2</v>
      </c>
      <c r="AY66" s="269">
        <f>IF(AT64&lt;AT66,2,IF(AND(AT66=AT64,AT66&gt;0),1,0))</f>
        <v>0</v>
      </c>
      <c r="AZ66" s="269">
        <f>IF(AU64&lt;AU66,2,IF(AND(AU66=AU64,AU66&gt;0),1,0))</f>
        <v>0</v>
      </c>
      <c r="BA66" s="269">
        <f>IF(AV64&lt;AV66,2,IF(AND(AV66=AV64,AV66&gt;0),1,0))</f>
        <v>2</v>
      </c>
      <c r="BB66" s="277">
        <f>SUM(AW66:BA67)</f>
        <v>6</v>
      </c>
      <c r="BC66" s="15"/>
      <c r="BD66" s="10"/>
      <c r="BE66" s="254"/>
      <c r="BF66" s="258"/>
      <c r="BG66" s="259"/>
      <c r="BH66" s="259"/>
      <c r="BI66" s="259"/>
      <c r="BJ66" s="260"/>
      <c r="BK66" s="262"/>
    </row>
    <row r="67" spans="1:72" ht="6.75" customHeight="1" x14ac:dyDescent="0.2">
      <c r="A67" s="254">
        <v>3</v>
      </c>
      <c r="B67" s="255" t="str">
        <f ca="1">IF(A67=" "," ",IFERROR(VLOOKUP(LARGE(INDIRECT(VLOOKUP($A$5,'Start List'!$J$9:$Q$14,Data!AP6+4,FALSE)),A67),'Start List'!$B$15:$V$139,3,FALSE),"bye to the next round"))</f>
        <v>Karla Bartolović</v>
      </c>
      <c r="C67" s="256"/>
      <c r="D67" s="256"/>
      <c r="E67" s="256"/>
      <c r="F67" s="256"/>
      <c r="G67" s="256"/>
      <c r="H67" s="256"/>
      <c r="I67" s="256"/>
      <c r="J67" s="256"/>
      <c r="K67" s="257"/>
      <c r="L67" s="261" t="str">
        <f ca="1">IFERROR(VLOOKUP(LARGE(INDIRECT(VLOOKUP($A$5,'Start List'!$J$9:$Q$14,Data!AP6+4,FALSE)),Women!A67),'Start List'!$B$15:$V$139,7,FALSE)," ")</f>
        <v xml:space="preserve"> </v>
      </c>
      <c r="M67" s="2"/>
      <c r="N67" s="5"/>
      <c r="O67" s="11"/>
      <c r="P67" s="1"/>
      <c r="Q67" s="1"/>
      <c r="R67" s="1"/>
      <c r="S67" s="1"/>
      <c r="T67" s="1"/>
      <c r="U67" s="1"/>
      <c r="V67" s="1"/>
      <c r="W67" s="1"/>
      <c r="X67" s="1"/>
      <c r="Y67" s="1"/>
      <c r="Z67" s="1"/>
      <c r="AA67" s="1"/>
      <c r="AB67" s="1"/>
      <c r="AC67" s="263"/>
      <c r="AD67" s="266"/>
      <c r="AE67" s="266"/>
      <c r="AF67" s="266"/>
      <c r="AG67" s="266"/>
      <c r="AH67" s="266"/>
      <c r="AI67" s="269"/>
      <c r="AJ67" s="269"/>
      <c r="AK67" s="269"/>
      <c r="AL67" s="269"/>
      <c r="AM67" s="269"/>
      <c r="AN67" s="277"/>
      <c r="AO67" s="9"/>
      <c r="AQ67" s="263"/>
      <c r="AR67" s="266"/>
      <c r="AS67" s="266"/>
      <c r="AT67" s="266"/>
      <c r="AU67" s="266"/>
      <c r="AV67" s="266"/>
      <c r="AW67" s="269"/>
      <c r="AX67" s="269"/>
      <c r="AY67" s="269"/>
      <c r="AZ67" s="269"/>
      <c r="BA67" s="269"/>
      <c r="BB67" s="277"/>
      <c r="BC67" s="15"/>
    </row>
    <row r="68" spans="1:72" ht="6.75" customHeight="1" thickBot="1" x14ac:dyDescent="0.25">
      <c r="A68" s="270"/>
      <c r="B68" s="258"/>
      <c r="C68" s="259"/>
      <c r="D68" s="259"/>
      <c r="E68" s="259"/>
      <c r="F68" s="259"/>
      <c r="G68" s="259"/>
      <c r="H68" s="259"/>
      <c r="I68" s="259"/>
      <c r="J68" s="259"/>
      <c r="K68" s="260"/>
      <c r="L68" s="262"/>
      <c r="M68" s="14"/>
      <c r="AO68" s="9"/>
      <c r="AQ68" s="23"/>
      <c r="BC68" s="9"/>
    </row>
    <row r="69" spans="1:72" ht="6.75" customHeight="1" thickBot="1" x14ac:dyDescent="0.25">
      <c r="A69" s="263">
        <f ca="1">VLOOKUP(VLOOKUP($A$5,'Start List'!$J$9:$Q$14,8,FALSE)&amp;A67,Data!$D$2:$H$97,2,FALSE)</f>
        <v>28</v>
      </c>
      <c r="B69" s="274">
        <v>25</v>
      </c>
      <c r="C69" s="271">
        <v>29</v>
      </c>
      <c r="D69" s="271">
        <v>27</v>
      </c>
      <c r="E69" s="271"/>
      <c r="F69" s="271"/>
      <c r="G69" s="268">
        <f>IF(B69&gt;B71,2,IF(AND(B71=B69,B69&gt;0),1,0))</f>
        <v>2</v>
      </c>
      <c r="H69" s="268">
        <f>IF(C69&gt;C71,2,IF(AND(C71=C69,C69&gt;0),1,0))</f>
        <v>2</v>
      </c>
      <c r="I69" s="268">
        <f>IF(D69&gt;D71,2,IF(AND(D71=D69,D69&gt;0),1,0))</f>
        <v>2</v>
      </c>
      <c r="J69" s="268">
        <f>IF(E69&gt;E71,2,IF(AND(E71=E69,E69&gt;0),1,0))</f>
        <v>0</v>
      </c>
      <c r="K69" s="268">
        <f>IF(F69&gt;F71,2,IF(AND(F71=F69,F69&gt;0),1,0))</f>
        <v>0</v>
      </c>
      <c r="L69" s="272">
        <f>SUM(G69:K70)</f>
        <v>6</v>
      </c>
      <c r="M69" s="9"/>
      <c r="AO69" s="9"/>
      <c r="BC69" s="9"/>
      <c r="BE69" s="3"/>
    </row>
    <row r="70" spans="1:72" ht="6.75" customHeight="1" x14ac:dyDescent="0.2">
      <c r="A70" s="263"/>
      <c r="B70" s="264"/>
      <c r="C70" s="266"/>
      <c r="D70" s="266"/>
      <c r="E70" s="266"/>
      <c r="F70" s="266"/>
      <c r="G70" s="269"/>
      <c r="H70" s="269"/>
      <c r="I70" s="269"/>
      <c r="J70" s="269"/>
      <c r="K70" s="269"/>
      <c r="L70" s="273"/>
      <c r="M70" s="15"/>
      <c r="O70" s="254">
        <f ca="1">IF(B73="bye to the next round",A67,IF(AND(L69&gt;L71,L69&gt;4),A67,IF(AND(L71&gt;L69,L71&gt;4),A73,IF(AND(L69=5,L71=5),MIN(A67,A73)," "))))</f>
        <v>3</v>
      </c>
      <c r="P70" s="255" t="str">
        <f ca="1">IF(O70=" "," ",IFERROR(VLOOKUP(LARGE(INDIRECT(VLOOKUP($A$5,'Start List'!$J$9:$Q$14,Data!AP6+4,FALSE)),O70),'Start List'!$B$15:$V$139,3,FALSE),"bye to the next round"))</f>
        <v>Karla Bartolović</v>
      </c>
      <c r="Q70" s="256"/>
      <c r="R70" s="256"/>
      <c r="S70" s="256"/>
      <c r="T70" s="256"/>
      <c r="U70" s="256"/>
      <c r="V70" s="256"/>
      <c r="W70" s="256"/>
      <c r="X70" s="256"/>
      <c r="Y70" s="257"/>
      <c r="Z70" s="261" t="str">
        <f ca="1">IFERROR(VLOOKUP(LARGE(INDIRECT(VLOOKUP($A$5,'Start List'!$J$9:$Q$14,Data!AP6+4,FALSE)),Women!O70),'Start List'!$B$15:$V$139,7,FALSE)," ")</f>
        <v xml:space="preserve"> </v>
      </c>
      <c r="AA70" s="16"/>
      <c r="AO70" s="9"/>
      <c r="AQ70" s="254">
        <f ca="1">IF(AND(AN64&gt;AN66,AN64&gt;4),AC75,IF(AND(AN66&gt;AN64,AN66&gt;4),AC55,IF(AND(AN64=5,AN66=5),MAX(AC55,AC75)," ")))</f>
        <v>3</v>
      </c>
      <c r="AR70" s="255" t="str">
        <f ca="1">IF(AQ70=" "," ",IFERROR(VLOOKUP(LARGE(INDIRECT(VLOOKUP($A$5,'Start List'!$J$9:$Q$14,Data!AP6+4,FALSE)),AQ70),'Start List'!$B$15:$V$139,3,FALSE),"bye to the next round"))</f>
        <v>Karla Bartolović</v>
      </c>
      <c r="AS70" s="256"/>
      <c r="AT70" s="256"/>
      <c r="AU70" s="256"/>
      <c r="AV70" s="256"/>
      <c r="AW70" s="256"/>
      <c r="AX70" s="256"/>
      <c r="AY70" s="256"/>
      <c r="AZ70" s="256"/>
      <c r="BA70" s="257"/>
      <c r="BB70" s="261" t="str">
        <f ca="1">IFERROR(VLOOKUP(LARGE(INDIRECT(VLOOKUP($A$5,'Start List'!$J$9:$Q$14,Data!AP6+4,FALSE)),Women!AQ70),'Start List'!$B$15:$V$139,7,FALSE)," ")</f>
        <v xml:space="preserve"> </v>
      </c>
      <c r="BC70" s="8"/>
    </row>
    <row r="71" spans="1:72" ht="6.75" customHeight="1" thickBot="1" x14ac:dyDescent="0.25">
      <c r="A71" s="263">
        <f ca="1">VLOOKUP(VLOOKUP($A$5,'Start List'!$J$9:$Q$14,8,FALSE)&amp;A73,Data!$D$2:$H$97,2,FALSE)</f>
        <v>29</v>
      </c>
      <c r="B71" s="264">
        <v>24</v>
      </c>
      <c r="C71" s="266">
        <v>27</v>
      </c>
      <c r="D71" s="266">
        <v>26</v>
      </c>
      <c r="E71" s="266"/>
      <c r="F71" s="266"/>
      <c r="G71" s="268">
        <f>IF(B69&lt;B71,2,IF(AND(B71=B69,B71&gt;0),1,0))</f>
        <v>0</v>
      </c>
      <c r="H71" s="268">
        <f>IF(C69&lt;C71,2,IF(AND(C71=C69,C71&gt;0),1,0))</f>
        <v>0</v>
      </c>
      <c r="I71" s="268">
        <f>IF(D69&lt;D71,2,IF(AND(D71=D69,D71&gt;0),1,0))</f>
        <v>0</v>
      </c>
      <c r="J71" s="268">
        <f>IF(E69&lt;E71,2,IF(AND(E71=E69,E71&gt;0),1,0))</f>
        <v>0</v>
      </c>
      <c r="K71" s="268">
        <f>IF(F69&lt;F71,2,IF(AND(F71=F69,F71&gt;0),1,0))</f>
        <v>0</v>
      </c>
      <c r="L71" s="272">
        <f>SUM(G71:K72)</f>
        <v>0</v>
      </c>
      <c r="M71" s="15"/>
      <c r="N71" s="10"/>
      <c r="O71" s="254"/>
      <c r="P71" s="258"/>
      <c r="Q71" s="259"/>
      <c r="R71" s="259"/>
      <c r="S71" s="259"/>
      <c r="T71" s="259"/>
      <c r="U71" s="259"/>
      <c r="V71" s="259"/>
      <c r="W71" s="259"/>
      <c r="X71" s="259"/>
      <c r="Y71" s="260"/>
      <c r="Z71" s="262"/>
      <c r="AA71" s="12"/>
      <c r="AO71" s="9"/>
      <c r="AQ71" s="254"/>
      <c r="AR71" s="258"/>
      <c r="AS71" s="259"/>
      <c r="AT71" s="259"/>
      <c r="AU71" s="259"/>
      <c r="AV71" s="259"/>
      <c r="AW71" s="259"/>
      <c r="AX71" s="259"/>
      <c r="AY71" s="259"/>
      <c r="AZ71" s="259"/>
      <c r="BA71" s="260"/>
      <c r="BB71" s="262"/>
      <c r="BC71" s="13"/>
    </row>
    <row r="72" spans="1:72" ht="6.75" customHeight="1" thickBot="1" x14ac:dyDescent="0.25">
      <c r="A72" s="263"/>
      <c r="B72" s="265"/>
      <c r="C72" s="267"/>
      <c r="D72" s="267"/>
      <c r="E72" s="267"/>
      <c r="F72" s="267"/>
      <c r="G72" s="269"/>
      <c r="H72" s="269"/>
      <c r="I72" s="269"/>
      <c r="J72" s="269"/>
      <c r="K72" s="269"/>
      <c r="L72" s="273"/>
      <c r="M72" s="15"/>
      <c r="O72" s="7"/>
      <c r="AA72" s="9"/>
      <c r="AO72" s="9"/>
    </row>
    <row r="73" spans="1:72" ht="6.75" customHeight="1" x14ac:dyDescent="0.2">
      <c r="A73" s="254">
        <v>14</v>
      </c>
      <c r="B73" s="255" t="str">
        <f ca="1">IF(A73=" "," ",IFERROR(VLOOKUP(LARGE(INDIRECT(VLOOKUP($A$5,'Start List'!$J$9:$Q$14,Data!AP6+4,FALSE)),A73),'Start List'!$B$15:$V$139,3,FALSE),"bye to the next round"))</f>
        <v>Penezić Ema</v>
      </c>
      <c r="C73" s="256"/>
      <c r="D73" s="256"/>
      <c r="E73" s="256"/>
      <c r="F73" s="256"/>
      <c r="G73" s="256"/>
      <c r="H73" s="256"/>
      <c r="I73" s="256"/>
      <c r="J73" s="256"/>
      <c r="K73" s="257"/>
      <c r="L73" s="261" t="str">
        <f ca="1">IFERROR(VLOOKUP(LARGE(INDIRECT(VLOOKUP($A$5,'Start List'!$J$9:$Q$14,Data!AP6+4,FALSE)),Women!A73),'Start List'!$B$15:$V$139,7,FALSE)," ")</f>
        <v xml:space="preserve"> </v>
      </c>
      <c r="M73" s="8"/>
      <c r="O73" s="7"/>
      <c r="AA73" s="9"/>
      <c r="AO73" s="9"/>
      <c r="BM73" s="200">
        <v>1</v>
      </c>
      <c r="BN73" s="200" t="str">
        <f ca="1">IF($BF$42&lt;&gt;" ",VLOOKUP(LARGE(INDIRECT(VLOOKUP($A$5,'Start List'!$J$9:$Q$14,Data!AP6+4,FALSE)),BO73),'Start List'!$B$15:$V$139,3,FALSE),"")</f>
        <v>Pereglin Valentina</v>
      </c>
      <c r="BO73" s="201">
        <f ca="1">BE25</f>
        <v>1</v>
      </c>
      <c r="BP73" s="202" t="str">
        <f t="shared" ref="BP73:BP88" ca="1" si="1">VLOOKUP(BO73,$BM$50:$BP$65,2,FALSE)</f>
        <v>0:0</v>
      </c>
      <c r="BQ73" s="202" t="str">
        <f t="shared" ref="BQ73:BQ80" ca="1" si="2">VLOOKUP(BO73,$BM$50:$BP$65,3,FALSE)</f>
        <v>6:2</v>
      </c>
      <c r="BR73" s="202" t="str">
        <f ca="1">VLOOKUP(BO73,$BM$50:$BP$65,4,FALSE)</f>
        <v>5:1</v>
      </c>
      <c r="BS73" s="200" t="str">
        <f>LARGE($BB$24:$BB$27,1)&amp;":"&amp;SMALL($BB$24:$BB$27,1)</f>
        <v>5:1</v>
      </c>
      <c r="BT73" s="200"/>
    </row>
    <row r="74" spans="1:72" ht="6.75" customHeight="1" thickBot="1" x14ac:dyDescent="0.25">
      <c r="A74" s="254"/>
      <c r="B74" s="258"/>
      <c r="C74" s="259"/>
      <c r="D74" s="259"/>
      <c r="E74" s="259"/>
      <c r="F74" s="259"/>
      <c r="G74" s="259"/>
      <c r="H74" s="259"/>
      <c r="I74" s="259"/>
      <c r="J74" s="259"/>
      <c r="K74" s="260"/>
      <c r="L74" s="262"/>
      <c r="M74" s="13"/>
      <c r="O74" s="263">
        <f ca="1">VLOOKUP(VLOOKUP($A$5,'Start List'!$J$9:$Q$14,8,FALSE)&amp;A67,Data!$D$2:$H$97,3,FALSE)</f>
        <v>16</v>
      </c>
      <c r="P74" s="266">
        <v>27</v>
      </c>
      <c r="Q74" s="266">
        <v>29</v>
      </c>
      <c r="R74" s="266">
        <v>26</v>
      </c>
      <c r="S74" s="266">
        <v>29</v>
      </c>
      <c r="T74" s="266"/>
      <c r="U74" s="269">
        <f>IF(P74&gt;P76,2,IF(AND(P76=P74,P74&gt;0),1,0))</f>
        <v>2</v>
      </c>
      <c r="V74" s="269">
        <f>IF(Q74&gt;Q76,2,IF(AND(Q76=Q74,Q74&gt;0),1,0))</f>
        <v>2</v>
      </c>
      <c r="W74" s="269">
        <f>IF(R74&gt;R76,2,IF(AND(R76=R74,R74&gt;0),1,0))</f>
        <v>0</v>
      </c>
      <c r="X74" s="269">
        <f>IF(S74&gt;S76,2,IF(AND(S76=S74,S74&gt;0),1,0))</f>
        <v>1</v>
      </c>
      <c r="Y74" s="269">
        <f>IF(T74&gt;T76,2,IF(AND(T76=T74,T74&gt;0),1,0))</f>
        <v>0</v>
      </c>
      <c r="Z74" s="277">
        <f>SUM(U74:Y75)</f>
        <v>5</v>
      </c>
      <c r="AA74" s="9"/>
      <c r="AO74" s="9"/>
      <c r="BM74" s="200">
        <v>2</v>
      </c>
      <c r="BN74" s="200" t="str">
        <f ca="1">IF($BF$42&lt;&gt;" ",VLOOKUP(LARGE(INDIRECT(VLOOKUP($A$5,'Start List'!$J$9:$Q$14,Data!AP6+4,FALSE)),BO74),'Start List'!$B$15:$V$139,3,FALSE),"")</f>
        <v>Oborovečki Mihaela</v>
      </c>
      <c r="BO74" s="201">
        <f ca="1">IF(AQ20=BE25,AQ30,AQ20)</f>
        <v>2</v>
      </c>
      <c r="BP74" s="202" t="str">
        <f t="shared" ca="1" si="1"/>
        <v>0:0</v>
      </c>
      <c r="BQ74" s="202" t="str">
        <f t="shared" ca="1" si="2"/>
        <v>5:3</v>
      </c>
      <c r="BR74" s="202" t="str">
        <f t="shared" ref="BR74:BR76" ca="1" si="3">VLOOKUP(BO74,$BM$50:$BP$65,4,FALSE)</f>
        <v>6:2</v>
      </c>
      <c r="BS74" s="200" t="str">
        <f>SMALL($BB$24:$BB$27,1)&amp;":"&amp;LARGE($BB$24:$BB$27,1)</f>
        <v>1:5</v>
      </c>
      <c r="BT74" s="200"/>
    </row>
    <row r="75" spans="1:72" ht="6.75" customHeight="1" x14ac:dyDescent="0.2">
      <c r="A75" s="30"/>
      <c r="O75" s="263"/>
      <c r="P75" s="266"/>
      <c r="Q75" s="266"/>
      <c r="R75" s="266"/>
      <c r="S75" s="266"/>
      <c r="T75" s="266"/>
      <c r="U75" s="269"/>
      <c r="V75" s="269"/>
      <c r="W75" s="269"/>
      <c r="X75" s="269"/>
      <c r="Y75" s="269"/>
      <c r="Z75" s="277"/>
      <c r="AA75" s="9"/>
      <c r="AC75" s="254">
        <f ca="1">IF(P80="bye to the next round",O70,IF(AND(Z74&gt;Z76,Z74&gt;4),O70,IF(AND(Z76&gt;Z74,Z76&gt;4),O80,IF(AND(Z74=5,Z76=5),MIN(O70,O80)," "))))</f>
        <v>3</v>
      </c>
      <c r="AD75" s="292" t="str">
        <f ca="1">IF(AC75=" "," ",IFERROR(VLOOKUP(LARGE(INDIRECT(VLOOKUP($A$5,'Start List'!$J$9:$Q$14,Data!AP6+4,FALSE)),AC75),'Start List'!$B$15:$V$139,3,FALSE),"bye to the next round"))</f>
        <v>Karla Bartolović</v>
      </c>
      <c r="AE75" s="293"/>
      <c r="AF75" s="293"/>
      <c r="AG75" s="293"/>
      <c r="AH75" s="293"/>
      <c r="AI75" s="293"/>
      <c r="AJ75" s="293"/>
      <c r="AK75" s="293"/>
      <c r="AL75" s="293"/>
      <c r="AM75" s="294"/>
      <c r="AN75" s="261" t="str">
        <f ca="1">IFERROR(VLOOKUP(LARGE(INDIRECT(VLOOKUP($A$5,'Start List'!$J$9:$Q$14,Data!AP6+4,FALSE)),Women!AC75),'Start List'!$B$15:$V$139,7,FALSE)," ")</f>
        <v xml:space="preserve"> </v>
      </c>
      <c r="AO75" s="8"/>
      <c r="BM75" s="200">
        <v>3</v>
      </c>
      <c r="BN75" s="200" t="str">
        <f ca="1">IF($BF$42&lt;&gt;" ",VLOOKUP(LARGE(INDIRECT(VLOOKUP($A$5,'Start List'!$J$9:$Q$14,Data!AP6+4,FALSE)),BO75),'Start List'!$B$15:$V$139,3,FALSE),"")</f>
        <v>Karla Bartolović</v>
      </c>
      <c r="BO75" s="201">
        <f ca="1">BE65</f>
        <v>3</v>
      </c>
      <c r="BP75" s="202" t="str">
        <f t="shared" ca="1" si="1"/>
        <v>6:0</v>
      </c>
      <c r="BQ75" s="202" t="str">
        <f t="shared" ca="1" si="2"/>
        <v>5:3</v>
      </c>
      <c r="BR75" s="202" t="str">
        <f t="shared" ca="1" si="3"/>
        <v>2:6</v>
      </c>
      <c r="BS75" s="200" t="str">
        <f>LARGE($BB$64:$BB$67,1)&amp;":"&amp;SMALL($BB$64:$BB$67,1)</f>
        <v>6:4</v>
      </c>
      <c r="BT75" s="200"/>
    </row>
    <row r="76" spans="1:72" ht="6.75" customHeight="1" thickBot="1" x14ac:dyDescent="0.25">
      <c r="A76" s="29"/>
      <c r="B76" s="29"/>
      <c r="C76" s="29"/>
      <c r="D76" s="29"/>
      <c r="E76" s="29"/>
      <c r="F76" s="29"/>
      <c r="G76" s="29"/>
      <c r="H76" s="29"/>
      <c r="I76" s="29"/>
      <c r="J76" s="29"/>
      <c r="K76" s="29"/>
      <c r="L76" s="29"/>
      <c r="M76" s="29"/>
      <c r="N76" s="29"/>
      <c r="O76" s="263">
        <f ca="1">VLOOKUP(VLOOKUP($A$5,'Start List'!$J$9:$Q$14,8,FALSE)&amp;A83,Data!$D$2:$H$97,3,FALSE)</f>
        <v>17</v>
      </c>
      <c r="P76" s="266">
        <v>25</v>
      </c>
      <c r="Q76" s="266">
        <v>28</v>
      </c>
      <c r="R76" s="266">
        <v>27</v>
      </c>
      <c r="S76" s="266">
        <v>29</v>
      </c>
      <c r="T76" s="266"/>
      <c r="U76" s="269">
        <f>IF(P74&lt;P76,2,IF(AND(P76=P74,P76&gt;0),1,0))</f>
        <v>0</v>
      </c>
      <c r="V76" s="269">
        <f>IF(Q74&lt;Q76,2,IF(AND(Q76=Q74,Q76&gt;0),1,0))</f>
        <v>0</v>
      </c>
      <c r="W76" s="269">
        <f>IF(R74&lt;R76,2,IF(AND(R76=R74,R76&gt;0),1,0))</f>
        <v>2</v>
      </c>
      <c r="X76" s="269">
        <f>IF(S74&lt;S76,2,IF(AND(S76=S74,S76&gt;0),1,0))</f>
        <v>1</v>
      </c>
      <c r="Y76" s="269">
        <f>IF(T74&lt;T76,2,IF(AND(T76=T74,T76&gt;0),1,0))</f>
        <v>0</v>
      </c>
      <c r="Z76" s="277">
        <f>SUM(U76:Y77)</f>
        <v>3</v>
      </c>
      <c r="AA76" s="17"/>
      <c r="AB76" s="19"/>
      <c r="AC76" s="254"/>
      <c r="AD76" s="295"/>
      <c r="AE76" s="296"/>
      <c r="AF76" s="296"/>
      <c r="AG76" s="296"/>
      <c r="AH76" s="296"/>
      <c r="AI76" s="296"/>
      <c r="AJ76" s="296"/>
      <c r="AK76" s="296"/>
      <c r="AL76" s="296"/>
      <c r="AM76" s="297"/>
      <c r="AN76" s="262"/>
      <c r="AO76" s="13"/>
      <c r="BM76" s="200">
        <v>4</v>
      </c>
      <c r="BN76" s="200" t="str">
        <f ca="1">IF($BF$42&lt;&gt;" ",VLOOKUP(LARGE(INDIRECT(VLOOKUP($A$5,'Start List'!$J$9:$Q$14,Data!AP6+4,FALSE)),BO76),'Start List'!$B$15:$V$139,3,FALSE),"")</f>
        <v>Iva Popović-Gecan</v>
      </c>
      <c r="BO76" s="201">
        <f ca="1">IF(AQ60=BE65,AQ70,AQ60)</f>
        <v>4</v>
      </c>
      <c r="BP76" s="202" t="str">
        <f t="shared" ca="1" si="1"/>
        <v>6:4</v>
      </c>
      <c r="BQ76" s="202" t="str">
        <f t="shared" ca="1" si="2"/>
        <v>6:2</v>
      </c>
      <c r="BR76" s="202" t="str">
        <f t="shared" ca="1" si="3"/>
        <v>1:5</v>
      </c>
      <c r="BS76" s="200" t="str">
        <f>SMALL($BB$64:$BB$67,1)&amp;":"&amp;LARGE($BB$64:$BB$67,1)</f>
        <v>4:6</v>
      </c>
      <c r="BT76" s="200"/>
    </row>
    <row r="77" spans="1:72" ht="6.75" customHeight="1" x14ac:dyDescent="0.2">
      <c r="A77" s="254">
        <v>6</v>
      </c>
      <c r="B77" s="255" t="str">
        <f ca="1">IF(A77=" "," ",IFERROR(VLOOKUP(LARGE(INDIRECT(VLOOKUP($A$5,'Start List'!$J$9:$Q$14,Data!AP6+4,FALSE)),A77),'Start List'!$B$15:$V$139,3,FALSE),"bye to the next round"))</f>
        <v>Stela Čuk</v>
      </c>
      <c r="C77" s="256"/>
      <c r="D77" s="256"/>
      <c r="E77" s="256"/>
      <c r="F77" s="256"/>
      <c r="G77" s="256"/>
      <c r="H77" s="256"/>
      <c r="I77" s="256"/>
      <c r="J77" s="256"/>
      <c r="K77" s="257"/>
      <c r="L77" s="261" t="str">
        <f ca="1">IFERROR(VLOOKUP(LARGE(INDIRECT(VLOOKUP($A$5,'Start List'!$J$9:$Q$14,Data!AP6+4,FALSE)),Women!A77),'Start List'!$B$15:$V$139,7,FALSE)," ")</f>
        <v xml:space="preserve"> </v>
      </c>
      <c r="M77" s="2"/>
      <c r="N77" s="5"/>
      <c r="O77" s="263"/>
      <c r="P77" s="266"/>
      <c r="Q77" s="266"/>
      <c r="R77" s="266"/>
      <c r="S77" s="266"/>
      <c r="T77" s="266"/>
      <c r="U77" s="269"/>
      <c r="V77" s="269"/>
      <c r="W77" s="269"/>
      <c r="X77" s="269"/>
      <c r="Y77" s="269"/>
      <c r="Z77" s="277"/>
      <c r="AA77" s="18"/>
      <c r="AB77" s="1"/>
      <c r="AN77" s="27"/>
      <c r="AO77" s="298"/>
      <c r="AP77" s="298"/>
      <c r="BM77" s="204">
        <v>5</v>
      </c>
      <c r="BN77" s="200" t="str">
        <f ca="1">IF($BF$42&lt;&gt;" ",VLOOKUP(LARGE(INDIRECT(VLOOKUP($A$5,'Start List'!$J$9:$Q$14,Data!AP6+4,FALSE)),BO77),'Start List'!$B$15:$V$139,3,FALSE),"")</f>
        <v>Nedělníková Jaroslava</v>
      </c>
      <c r="BO77" s="202">
        <f ca="1">SMALL($BT$77:$BT$80,1)</f>
        <v>7</v>
      </c>
      <c r="BP77" s="202" t="str">
        <f t="shared" ca="1" si="1"/>
        <v>6:4</v>
      </c>
      <c r="BQ77" s="202" t="str">
        <f t="shared" ca="1" si="2"/>
        <v>3:5</v>
      </c>
      <c r="BR77" s="200" t="str">
        <f>""</f>
        <v/>
      </c>
      <c r="BS77" s="200" t="str">
        <f>""</f>
        <v/>
      </c>
      <c r="BT77" s="202">
        <f ca="1">IF(O10=AC15,O20,O10)</f>
        <v>8</v>
      </c>
    </row>
    <row r="78" spans="1:72" ht="6.75" customHeight="1" thickBot="1" x14ac:dyDescent="0.25">
      <c r="A78" s="270"/>
      <c r="B78" s="258"/>
      <c r="C78" s="259"/>
      <c r="D78" s="259"/>
      <c r="E78" s="259"/>
      <c r="F78" s="259"/>
      <c r="G78" s="259"/>
      <c r="H78" s="259"/>
      <c r="I78" s="259"/>
      <c r="J78" s="259"/>
      <c r="K78" s="260"/>
      <c r="L78" s="262"/>
      <c r="M78" s="14"/>
      <c r="AA78" s="9"/>
      <c r="AN78" s="23"/>
      <c r="AO78" s="298"/>
      <c r="AP78" s="298"/>
      <c r="BM78" s="200">
        <v>6</v>
      </c>
      <c r="BN78" s="200" t="str">
        <f ca="1">IF($BF$42&lt;&gt;" ",VLOOKUP(LARGE(INDIRECT(VLOOKUP($A$5,'Start List'!$J$9:$Q$14,Data!AP6+4,FALSE)),BO78),'Start List'!$B$15:$V$139,3,FALSE),"")</f>
        <v>Bihariné Gábriel Emese</v>
      </c>
      <c r="BO78" s="202">
        <f ca="1">SMALL($BT$77:$BT$80,2)</f>
        <v>8</v>
      </c>
      <c r="BP78" s="202" t="str">
        <f t="shared" ca="1" si="1"/>
        <v>5:1</v>
      </c>
      <c r="BQ78" s="202" t="str">
        <f t="shared" ca="1" si="2"/>
        <v>2:6</v>
      </c>
      <c r="BR78" s="200" t="str">
        <f>""</f>
        <v/>
      </c>
      <c r="BS78" s="200" t="str">
        <f>""</f>
        <v/>
      </c>
      <c r="BT78" s="200">
        <f ca="1">IF(O30=AC35,O40,O30)</f>
        <v>12</v>
      </c>
    </row>
    <row r="79" spans="1:72" ht="6.75" customHeight="1" thickBot="1" x14ac:dyDescent="0.25">
      <c r="A79" s="263">
        <f ca="1">VLOOKUP(VLOOKUP($A$5,'Start List'!$J$9:$Q$14,8,FALSE)&amp;A77,Data!$D$2:$H$97,2,FALSE)</f>
        <v>30</v>
      </c>
      <c r="B79" s="274">
        <v>25</v>
      </c>
      <c r="C79" s="271">
        <v>27</v>
      </c>
      <c r="D79" s="271">
        <v>27</v>
      </c>
      <c r="E79" s="271">
        <v>24</v>
      </c>
      <c r="F79" s="271">
        <v>24</v>
      </c>
      <c r="G79" s="268">
        <f>IF(B79&gt;B81,2,IF(AND(B81=B79,B79&gt;0),1,0))</f>
        <v>2</v>
      </c>
      <c r="H79" s="268">
        <f>IF(C79&gt;C81,2,IF(AND(C81=C79,C79&gt;0),1,0))</f>
        <v>2</v>
      </c>
      <c r="I79" s="268">
        <f>IF(D79&gt;D81,2,IF(AND(D81=D79,D79&gt;0),1,0))</f>
        <v>0</v>
      </c>
      <c r="J79" s="268">
        <f>IF(E79&gt;E81,2,IF(AND(E81=E79,E79&gt;0),1,0))</f>
        <v>0</v>
      </c>
      <c r="K79" s="268">
        <f>IF(F79&gt;F81,2,IF(AND(F81=F79,F79&gt;0),1,0))</f>
        <v>0</v>
      </c>
      <c r="L79" s="272">
        <f>SUM(G79:K80)</f>
        <v>4</v>
      </c>
      <c r="M79" s="9"/>
      <c r="AA79" s="9"/>
      <c r="AN79" s="23"/>
      <c r="AO79" s="298"/>
      <c r="AP79" s="298"/>
      <c r="BM79" s="200">
        <v>7</v>
      </c>
      <c r="BN79" s="200" t="str">
        <f ca="1">IF($BF$42&lt;&gt;" ",VLOOKUP(LARGE(INDIRECT(VLOOKUP($A$5,'Start List'!$J$9:$Q$14,Data!AP6+4,FALSE)),BO79),'Start List'!$B$15:$V$139,3,FALSE),"")</f>
        <v>Dr. Lénárt Ágota</v>
      </c>
      <c r="BO79" s="202">
        <f ca="1">SMALL($BT$77:$BT$80,3)</f>
        <v>11</v>
      </c>
      <c r="BP79" s="202" t="str">
        <f t="shared" ca="1" si="1"/>
        <v>6:4</v>
      </c>
      <c r="BQ79" s="202" t="str">
        <f t="shared" ca="1" si="2"/>
        <v>3:5</v>
      </c>
      <c r="BR79" s="200" t="str">
        <f>""</f>
        <v/>
      </c>
      <c r="BS79" s="200" t="str">
        <f>""</f>
        <v/>
      </c>
      <c r="BT79" s="200">
        <f ca="1">IF(O50=AC55,O60,O50)</f>
        <v>7</v>
      </c>
    </row>
    <row r="80" spans="1:72" ht="6.75" customHeight="1" x14ac:dyDescent="0.2">
      <c r="A80" s="263"/>
      <c r="B80" s="264"/>
      <c r="C80" s="266"/>
      <c r="D80" s="266"/>
      <c r="E80" s="266"/>
      <c r="F80" s="266"/>
      <c r="G80" s="269"/>
      <c r="H80" s="269"/>
      <c r="I80" s="269"/>
      <c r="J80" s="269"/>
      <c r="K80" s="269"/>
      <c r="L80" s="273"/>
      <c r="M80" s="15"/>
      <c r="O80" s="254">
        <f ca="1">IF(B83="bye to the next round",A77,IF(AND(L79&gt;L81,L79&gt;4),A77,IF(AND(L81&gt;L79,L81&gt;4),A83,IF(AND(L79=5,L81=5),MIN(A77,A83)," "))))</f>
        <v>11</v>
      </c>
      <c r="P80" s="255" t="str">
        <f ca="1">IF(O80=" "," ",IFERROR(VLOOKUP(LARGE(INDIRECT(VLOOKUP($A$5,'Start List'!$J$9:$Q$14,Data!AP6+4,FALSE)),O80),'Start List'!$B$15:$V$139,3,FALSE),"bye to the next round"))</f>
        <v>Dr. Lénárt Ágota</v>
      </c>
      <c r="Q80" s="256"/>
      <c r="R80" s="256"/>
      <c r="S80" s="256"/>
      <c r="T80" s="256"/>
      <c r="U80" s="256"/>
      <c r="V80" s="256"/>
      <c r="W80" s="256"/>
      <c r="X80" s="256"/>
      <c r="Y80" s="257"/>
      <c r="Z80" s="261" t="str">
        <f ca="1">IFERROR(VLOOKUP(LARGE(INDIRECT(VLOOKUP($A$5,'Start List'!$J$9:$Q$14,Data!AP6+4,FALSE)),Women!O80),'Start List'!$B$15:$V$139,7,FALSE)," ")</f>
        <v xml:space="preserve"> </v>
      </c>
      <c r="AA80" s="8"/>
      <c r="AN80" s="23"/>
      <c r="AO80" s="298"/>
      <c r="AP80" s="298"/>
      <c r="BM80" s="200">
        <v>8</v>
      </c>
      <c r="BN80" s="200" t="str">
        <f ca="1">IF($BF$42&lt;&gt;" ",VLOOKUP(LARGE(INDIRECT(VLOOKUP($A$5,'Start List'!$J$9:$Q$14,Data!AP6+4,FALSE)),BO80),'Start List'!$B$15:$V$139,3,FALSE),"")</f>
        <v>Hynková Irena</v>
      </c>
      <c r="BO80" s="202">
        <f ca="1">SMALL($BT$77:$BT$80,4)</f>
        <v>12</v>
      </c>
      <c r="BP80" s="202" t="str">
        <f t="shared" ca="1" si="1"/>
        <v>6:2</v>
      </c>
      <c r="BQ80" s="202" t="str">
        <f t="shared" ca="1" si="2"/>
        <v>2:6</v>
      </c>
      <c r="BR80" s="200" t="str">
        <f>""</f>
        <v/>
      </c>
      <c r="BS80" s="200" t="str">
        <f>""</f>
        <v/>
      </c>
      <c r="BT80" s="200">
        <f ca="1">IF(O70=AC75,O80,O70)</f>
        <v>11</v>
      </c>
    </row>
    <row r="81" spans="1:72" ht="6.75" customHeight="1" thickBot="1" x14ac:dyDescent="0.25">
      <c r="A81" s="263">
        <f ca="1">VLOOKUP(VLOOKUP($A$5,'Start List'!$J$9:$Q$14,8,FALSE)&amp;A83,Data!$D$2:$H$97,2,FALSE)</f>
        <v>31</v>
      </c>
      <c r="B81" s="264">
        <v>22</v>
      </c>
      <c r="C81" s="266">
        <v>26</v>
      </c>
      <c r="D81" s="266">
        <v>28</v>
      </c>
      <c r="E81" s="266">
        <v>28</v>
      </c>
      <c r="F81" s="266">
        <v>26</v>
      </c>
      <c r="G81" s="268">
        <f>IF(B79&lt;B81,2,IF(AND(B81=B79,B81&gt;0),1,0))</f>
        <v>0</v>
      </c>
      <c r="H81" s="268">
        <f>IF(C79&lt;C81,2,IF(AND(C81=C79,C81&gt;0),1,0))</f>
        <v>0</v>
      </c>
      <c r="I81" s="268">
        <f>IF(D79&lt;D81,2,IF(AND(D81=D79,D81&gt;0),1,0))</f>
        <v>2</v>
      </c>
      <c r="J81" s="268">
        <f>IF(E79&lt;E81,2,IF(AND(E81=E79,E81&gt;0),1,0))</f>
        <v>2</v>
      </c>
      <c r="K81" s="268">
        <f>IF(F79&lt;F81,2,IF(AND(F81=F79,F81&gt;0),1,0))</f>
        <v>2</v>
      </c>
      <c r="L81" s="272">
        <f>SUM(G81:K82)</f>
        <v>6</v>
      </c>
      <c r="M81" s="15"/>
      <c r="N81" s="10"/>
      <c r="O81" s="254"/>
      <c r="P81" s="258"/>
      <c r="Q81" s="259"/>
      <c r="R81" s="259"/>
      <c r="S81" s="259"/>
      <c r="T81" s="259"/>
      <c r="U81" s="259"/>
      <c r="V81" s="259"/>
      <c r="W81" s="259"/>
      <c r="X81" s="259"/>
      <c r="Y81" s="260"/>
      <c r="Z81" s="262"/>
      <c r="AA81" s="13"/>
      <c r="AN81" s="23"/>
      <c r="AO81" s="298"/>
      <c r="AP81" s="298"/>
      <c r="BM81" s="200">
        <v>9</v>
      </c>
      <c r="BN81" s="200" t="str">
        <f ca="1">IF($BF$42&lt;&gt;" ",VLOOKUP(LARGE(INDIRECT(VLOOKUP($A$5,'Start List'!$J$9:$Q$14,Data!AP6+4,FALSE)),BO81),'Start List'!$B$15:$V$139,3,FALSE),"")</f>
        <v>Petra Petak</v>
      </c>
      <c r="BO81" s="200">
        <f t="shared" ref="BO81:BO88" ca="1" si="4">SMALL($BT$81:$BT$88,BM50)</f>
        <v>5</v>
      </c>
      <c r="BP81" s="202" t="str">
        <f t="shared" ca="1" si="1"/>
        <v>2:6</v>
      </c>
      <c r="BQ81" s="200" t="str">
        <f>""</f>
        <v/>
      </c>
      <c r="BR81" s="200" t="str">
        <f>""</f>
        <v/>
      </c>
      <c r="BS81" s="200" t="str">
        <f>""</f>
        <v/>
      </c>
      <c r="BT81" s="200">
        <f ca="1">IF(A7=O10,A13,A7)</f>
        <v>16</v>
      </c>
    </row>
    <row r="82" spans="1:72" ht="6.75" customHeight="1" thickBot="1" x14ac:dyDescent="0.25">
      <c r="A82" s="263"/>
      <c r="B82" s="265"/>
      <c r="C82" s="267"/>
      <c r="D82" s="267"/>
      <c r="E82" s="267"/>
      <c r="F82" s="267"/>
      <c r="G82" s="269"/>
      <c r="H82" s="269"/>
      <c r="I82" s="269"/>
      <c r="J82" s="269"/>
      <c r="K82" s="269"/>
      <c r="L82" s="273"/>
      <c r="M82" s="15"/>
      <c r="O82" s="7"/>
      <c r="AN82" s="23"/>
      <c r="AO82" s="298"/>
      <c r="AP82" s="298"/>
      <c r="BM82" s="200">
        <v>10</v>
      </c>
      <c r="BN82" s="200" t="str">
        <f ca="1">IF($BF$42&lt;&gt;" ",VLOOKUP(LARGE(INDIRECT(VLOOKUP($A$5,'Start List'!$J$9:$Q$14,Data!AP6+4,FALSE)),BO82),'Start List'!$B$15:$V$139,3,FALSE),"")</f>
        <v>Stela Čuk</v>
      </c>
      <c r="BO82" s="200">
        <f t="shared" ca="1" si="4"/>
        <v>6</v>
      </c>
      <c r="BP82" s="202" t="str">
        <f t="shared" ca="1" si="1"/>
        <v>4:6</v>
      </c>
      <c r="BQ82" s="200" t="str">
        <f>""</f>
        <v/>
      </c>
      <c r="BR82" s="200" t="str">
        <f>""</f>
        <v/>
      </c>
      <c r="BS82" s="200" t="str">
        <f>""</f>
        <v/>
      </c>
      <c r="BT82" s="200">
        <f ca="1">IF(A17=O20,A23,A17)</f>
        <v>9</v>
      </c>
    </row>
    <row r="83" spans="1:72" ht="6.75" customHeight="1" x14ac:dyDescent="0.2">
      <c r="A83" s="254">
        <v>11</v>
      </c>
      <c r="B83" s="255" t="str">
        <f ca="1">IF(A83=" "," ",IFERROR(VLOOKUP(LARGE(INDIRECT(VLOOKUP($A$5,'Start List'!$J$9:$Q$14,Data!AP6+4,FALSE)),A83),'Start List'!$B$15:$V$139,3,FALSE),"bye to the next round"))</f>
        <v>Dr. Lénárt Ágota</v>
      </c>
      <c r="C83" s="256"/>
      <c r="D83" s="256"/>
      <c r="E83" s="256"/>
      <c r="F83" s="256"/>
      <c r="G83" s="256"/>
      <c r="H83" s="256"/>
      <c r="I83" s="256"/>
      <c r="J83" s="256"/>
      <c r="K83" s="257"/>
      <c r="L83" s="261" t="str">
        <f ca="1">IFERROR(VLOOKUP(LARGE(INDIRECT(VLOOKUP($A$5,'Start List'!$J$9:$Q$14,Data!AP6+4,FALSE)),Women!A83),'Start List'!$B$15:$V$139,7,FALSE)," ")</f>
        <v xml:space="preserve"> </v>
      </c>
      <c r="M83" s="8"/>
      <c r="O83" s="7"/>
      <c r="AN83" s="23"/>
      <c r="AO83" s="298"/>
      <c r="AP83" s="298"/>
      <c r="BM83" s="200">
        <v>11</v>
      </c>
      <c r="BN83" s="200" t="str">
        <f ca="1">IF($BF$42&lt;&gt;" ",VLOOKUP(LARGE(INDIRECT(VLOOKUP($A$5,'Start List'!$J$9:$Q$14,Data!AP6+4,FALSE)),BO83),'Start List'!$B$15:$V$139,3,FALSE),"")</f>
        <v>Kubesová Sabina</v>
      </c>
      <c r="BO83" s="200">
        <f t="shared" ca="1" si="4"/>
        <v>9</v>
      </c>
      <c r="BP83" s="202" t="str">
        <f t="shared" ca="1" si="1"/>
        <v>1:5</v>
      </c>
      <c r="BQ83" s="200" t="str">
        <f>""</f>
        <v/>
      </c>
      <c r="BR83" s="200" t="str">
        <f>""</f>
        <v/>
      </c>
      <c r="BS83" s="200" t="str">
        <f>""</f>
        <v/>
      </c>
      <c r="BT83" s="200">
        <f ca="1">IF(A27=O30,A33,A27)</f>
        <v>13</v>
      </c>
    </row>
    <row r="84" spans="1:72" ht="6.75" customHeight="1" thickBot="1" x14ac:dyDescent="0.25">
      <c r="A84" s="254"/>
      <c r="B84" s="258"/>
      <c r="C84" s="259"/>
      <c r="D84" s="259"/>
      <c r="E84" s="259"/>
      <c r="F84" s="259"/>
      <c r="G84" s="259"/>
      <c r="H84" s="259"/>
      <c r="I84" s="259"/>
      <c r="J84" s="259"/>
      <c r="K84" s="260"/>
      <c r="L84" s="262"/>
      <c r="M84" s="13"/>
      <c r="AN84" s="23"/>
      <c r="AO84" s="298"/>
      <c r="AP84" s="298"/>
      <c r="BM84" s="200">
        <v>12</v>
      </c>
      <c r="BN84" s="200" t="str">
        <f ca="1">IF($BF$42&lt;&gt;" ",VLOOKUP(LARGE(INDIRECT(VLOOKUP($A$5,'Start List'!$J$9:$Q$14,Data!AP6+4,FALSE)),BO84),'Start List'!$B$15:$V$139,3,FALSE),"")</f>
        <v>Hynková Karolína</v>
      </c>
      <c r="BO84" s="200">
        <f t="shared" ca="1" si="4"/>
        <v>10</v>
      </c>
      <c r="BP84" s="202" t="str">
        <f t="shared" ca="1" si="1"/>
        <v>4:6</v>
      </c>
      <c r="BQ84" s="200" t="str">
        <f>""</f>
        <v/>
      </c>
      <c r="BR84" s="200" t="str">
        <f>""</f>
        <v/>
      </c>
      <c r="BS84" s="200" t="str">
        <f>""</f>
        <v/>
      </c>
      <c r="BT84" s="200">
        <f ca="1">IF(A37=O40,A43,A37)</f>
        <v>5</v>
      </c>
    </row>
    <row r="85" spans="1:72" ht="6.75" customHeight="1" x14ac:dyDescent="0.2">
      <c r="A85" s="30"/>
      <c r="AN85" s="23"/>
      <c r="AO85" s="34"/>
      <c r="AP85" s="34"/>
      <c r="BM85" s="200">
        <v>13</v>
      </c>
      <c r="BN85" s="200" t="str">
        <f ca="1">IF($BF$42&lt;&gt;" ",VLOOKUP(LARGE(INDIRECT(VLOOKUP($A$5,'Start List'!$J$9:$Q$14,Data!AP6+4,FALSE)),BO85),'Start List'!$B$15:$V$139,3,FALSE),"")</f>
        <v>Kocsis Mária</v>
      </c>
      <c r="BO85" s="200">
        <f t="shared" ca="1" si="4"/>
        <v>13</v>
      </c>
      <c r="BP85" s="202" t="str">
        <f t="shared" ca="1" si="1"/>
        <v>4:6</v>
      </c>
      <c r="BQ85" s="200" t="str">
        <f>""</f>
        <v/>
      </c>
      <c r="BR85" s="200" t="str">
        <f>""</f>
        <v/>
      </c>
      <c r="BS85" s="200" t="str">
        <f>""</f>
        <v/>
      </c>
      <c r="BT85" s="200">
        <f ca="1">IF(A47=O50,A53,A47)</f>
        <v>15</v>
      </c>
    </row>
    <row r="86" spans="1:72" ht="6.75" customHeight="1" x14ac:dyDescent="0.2">
      <c r="A86" s="31"/>
      <c r="B86" s="7"/>
      <c r="C86" s="7"/>
      <c r="D86" s="7"/>
      <c r="E86" s="7"/>
      <c r="F86" s="7"/>
      <c r="G86" s="7"/>
      <c r="H86" s="7"/>
      <c r="I86" s="7"/>
      <c r="J86" s="7"/>
      <c r="K86" s="7"/>
      <c r="L86" s="7"/>
      <c r="O86" s="7"/>
      <c r="AA86" s="23"/>
      <c r="AB86" s="34"/>
      <c r="AC86" s="34"/>
      <c r="BM86" s="11">
        <v>14</v>
      </c>
      <c r="BN86" s="200" t="str">
        <f ca="1">IF($BF$42&lt;&gt;" ",VLOOKUP(LARGE(INDIRECT(VLOOKUP($A$5,'Start List'!$J$9:$Q$14,Data!AP6+4,FALSE)),BO86),'Start List'!$B$15:$V$139,3,FALSE),"")</f>
        <v>Penezić Ema</v>
      </c>
      <c r="BO86" s="200">
        <f t="shared" ca="1" si="4"/>
        <v>14</v>
      </c>
      <c r="BP86" s="202" t="str">
        <f t="shared" ca="1" si="1"/>
        <v>0:6</v>
      </c>
      <c r="BQ86" s="200" t="str">
        <f>""</f>
        <v/>
      </c>
      <c r="BR86" s="200" t="str">
        <f>""</f>
        <v/>
      </c>
      <c r="BS86" s="200" t="str">
        <f>""</f>
        <v/>
      </c>
      <c r="BT86" s="203">
        <f ca="1">IF(A57=O60,A63,A57)</f>
        <v>10</v>
      </c>
    </row>
    <row r="87" spans="1:72" ht="6.75" customHeight="1" x14ac:dyDescent="0.2">
      <c r="A87" s="23"/>
      <c r="B87" s="3"/>
      <c r="C87" s="7"/>
      <c r="D87" s="7"/>
      <c r="E87" s="7"/>
      <c r="F87" s="7"/>
      <c r="G87" s="7"/>
      <c r="H87" s="7"/>
      <c r="I87" s="7"/>
      <c r="J87" s="7"/>
      <c r="K87" s="7"/>
      <c r="L87" s="7"/>
      <c r="O87" s="7"/>
      <c r="BM87" s="193">
        <v>15</v>
      </c>
      <c r="BN87" s="200" t="e">
        <f ca="1">IF($BF$42&lt;&gt;" ",VLOOKUP(LARGE(INDIRECT(VLOOKUP($A$5,'Start List'!$J$9:$Q$14,Data!AP6+4,FALSE)),BO87),'Start List'!$B$15:$V$139,3,FALSE),"")</f>
        <v>#NUM!</v>
      </c>
      <c r="BO87" s="200">
        <f t="shared" ca="1" si="4"/>
        <v>15</v>
      </c>
      <c r="BP87" s="202" t="str">
        <f t="shared" ca="1" si="1"/>
        <v>0:0</v>
      </c>
      <c r="BQ87" s="200" t="str">
        <f>""</f>
        <v/>
      </c>
      <c r="BR87" s="200" t="str">
        <f>""</f>
        <v/>
      </c>
      <c r="BS87" s="200" t="str">
        <f>""</f>
        <v/>
      </c>
      <c r="BT87" s="200">
        <f ca="1">IF(A67=O70,A73,A67)</f>
        <v>14</v>
      </c>
    </row>
    <row r="88" spans="1:72" ht="6.75" customHeight="1" x14ac:dyDescent="0.2">
      <c r="A88" s="23"/>
      <c r="B88" s="3"/>
      <c r="C88" s="7"/>
      <c r="D88" s="7"/>
      <c r="E88" s="7"/>
      <c r="F88" s="7"/>
      <c r="G88" s="7"/>
      <c r="H88" s="7"/>
      <c r="I88" s="7"/>
      <c r="J88" s="7"/>
      <c r="K88" s="7"/>
      <c r="L88" s="7"/>
      <c r="O88" s="7"/>
      <c r="BM88" s="193">
        <v>16</v>
      </c>
      <c r="BN88" s="200" t="e">
        <f ca="1">IF($BF$42&lt;&gt;" ",VLOOKUP(LARGE(INDIRECT(VLOOKUP($A$5,'Start List'!$J$9:$Q$14,Data!AP6+4,FALSE)),BO88),'Start List'!$B$15:$V$139,3,FALSE),"")</f>
        <v>#NUM!</v>
      </c>
      <c r="BO88" s="200">
        <f t="shared" ca="1" si="4"/>
        <v>16</v>
      </c>
      <c r="BP88" s="202" t="str">
        <f t="shared" ca="1" si="1"/>
        <v>0:0</v>
      </c>
      <c r="BQ88" s="200" t="str">
        <f>""</f>
        <v/>
      </c>
      <c r="BR88" s="200" t="str">
        <f>""</f>
        <v/>
      </c>
      <c r="BS88" s="200" t="str">
        <f>""</f>
        <v/>
      </c>
      <c r="BT88" s="200">
        <f ca="1">IF(A77=O80,A83,A77)</f>
        <v>6</v>
      </c>
    </row>
    <row r="89" spans="1:72" ht="6.75" customHeight="1" x14ac:dyDescent="0.2">
      <c r="B89" s="3"/>
      <c r="C89" s="7"/>
      <c r="D89" s="7"/>
      <c r="E89" s="7"/>
      <c r="F89" s="7"/>
      <c r="G89" s="7"/>
      <c r="H89" s="7"/>
      <c r="I89" s="7"/>
      <c r="J89" s="7"/>
      <c r="K89" s="7"/>
      <c r="L89" s="7"/>
      <c r="O89" s="7"/>
    </row>
    <row r="90" spans="1:72" ht="6.75" customHeight="1" x14ac:dyDescent="0.2">
      <c r="B90" s="3"/>
      <c r="C90" s="7"/>
      <c r="D90" s="7"/>
      <c r="E90" s="7"/>
      <c r="F90" s="7"/>
      <c r="G90" s="7"/>
      <c r="H90" s="7"/>
      <c r="I90" s="7"/>
      <c r="J90" s="7"/>
      <c r="K90" s="7"/>
      <c r="L90" s="7"/>
      <c r="O90" s="7"/>
    </row>
    <row r="91" spans="1:72" ht="6.75" customHeight="1" x14ac:dyDescent="0.2">
      <c r="B91" s="3"/>
      <c r="C91" s="7"/>
      <c r="D91" s="7"/>
      <c r="E91" s="7"/>
      <c r="F91" s="7"/>
      <c r="G91" s="7"/>
      <c r="H91" s="7"/>
      <c r="I91" s="7"/>
      <c r="J91" s="7"/>
      <c r="K91" s="7"/>
      <c r="L91" s="7"/>
      <c r="O91" s="7"/>
    </row>
    <row r="92" spans="1:72" ht="6.75" customHeight="1" x14ac:dyDescent="0.2">
      <c r="B92" s="3"/>
      <c r="C92" s="7"/>
      <c r="D92" s="7"/>
      <c r="E92" s="7"/>
      <c r="F92" s="7"/>
      <c r="G92" s="7"/>
      <c r="H92" s="7"/>
      <c r="I92" s="7"/>
      <c r="J92" s="7"/>
      <c r="K92" s="7"/>
      <c r="L92" s="7"/>
      <c r="O92" s="7"/>
    </row>
    <row r="93" spans="1:72" ht="6.75" customHeight="1" x14ac:dyDescent="0.2">
      <c r="B93" s="3"/>
      <c r="C93" s="7"/>
      <c r="D93" s="7"/>
      <c r="E93" s="7"/>
      <c r="F93" s="7"/>
      <c r="G93" s="7"/>
      <c r="H93" s="7"/>
      <c r="I93" s="7"/>
      <c r="J93" s="7"/>
      <c r="K93" s="7"/>
      <c r="L93" s="7"/>
      <c r="O93" s="7"/>
    </row>
    <row r="94" spans="1:72" ht="6.75" customHeight="1" x14ac:dyDescent="0.2">
      <c r="B94" s="3"/>
      <c r="C94" s="7"/>
      <c r="D94" s="7"/>
      <c r="E94" s="7"/>
      <c r="F94" s="7"/>
      <c r="G94" s="7"/>
      <c r="H94" s="7"/>
      <c r="I94" s="7"/>
      <c r="J94" s="7"/>
      <c r="K94" s="7"/>
      <c r="L94" s="7"/>
      <c r="O94" s="7"/>
    </row>
    <row r="95" spans="1:72" ht="6.75" customHeight="1" x14ac:dyDescent="0.2">
      <c r="B95" s="3"/>
      <c r="C95" s="7"/>
      <c r="D95" s="7"/>
      <c r="E95" s="7"/>
      <c r="F95" s="7"/>
      <c r="G95" s="7"/>
      <c r="H95" s="7"/>
      <c r="I95" s="7"/>
      <c r="J95" s="7"/>
      <c r="K95" s="7"/>
      <c r="L95" s="7"/>
      <c r="O95" s="7"/>
    </row>
    <row r="96" spans="1:72" ht="6.75" customHeight="1" x14ac:dyDescent="0.2">
      <c r="B96" s="3"/>
      <c r="C96" s="7"/>
      <c r="D96" s="7"/>
      <c r="E96" s="7"/>
      <c r="F96" s="7"/>
      <c r="G96" s="7"/>
      <c r="H96" s="7"/>
      <c r="I96" s="7"/>
      <c r="J96" s="7"/>
      <c r="K96" s="7"/>
      <c r="L96" s="7"/>
      <c r="O96" s="7"/>
    </row>
    <row r="97" spans="2:15" ht="6.75" customHeight="1" x14ac:dyDescent="0.2">
      <c r="B97" s="3"/>
      <c r="C97" s="7"/>
      <c r="D97" s="7"/>
      <c r="E97" s="7"/>
      <c r="F97" s="7"/>
      <c r="G97" s="7"/>
      <c r="H97" s="7"/>
      <c r="I97" s="7"/>
      <c r="J97" s="7"/>
      <c r="K97" s="7"/>
      <c r="L97" s="7"/>
      <c r="O97" s="7"/>
    </row>
    <row r="98" spans="2:15" ht="6.75" customHeight="1" x14ac:dyDescent="0.2">
      <c r="B98" s="3"/>
      <c r="C98" s="7"/>
      <c r="D98" s="7"/>
      <c r="E98" s="7"/>
      <c r="F98" s="7"/>
      <c r="G98" s="7"/>
      <c r="H98" s="7"/>
      <c r="I98" s="7"/>
      <c r="J98" s="7"/>
      <c r="K98" s="7"/>
      <c r="L98" s="7"/>
      <c r="O98" s="7"/>
    </row>
    <row r="99" spans="2:15" ht="6.75" customHeight="1" x14ac:dyDescent="0.2">
      <c r="B99" s="3"/>
      <c r="C99" s="7"/>
      <c r="D99" s="7"/>
      <c r="E99" s="7"/>
      <c r="F99" s="7"/>
      <c r="G99" s="7"/>
      <c r="H99" s="7"/>
      <c r="I99" s="7"/>
      <c r="J99" s="7"/>
      <c r="K99" s="7"/>
      <c r="L99" s="7"/>
      <c r="O99" s="7"/>
    </row>
    <row r="100" spans="2:15" ht="6.75" customHeight="1" x14ac:dyDescent="0.2">
      <c r="B100" s="3"/>
      <c r="C100" s="7"/>
      <c r="D100" s="7"/>
      <c r="E100" s="7"/>
      <c r="F100" s="7"/>
      <c r="G100" s="7"/>
      <c r="H100" s="7"/>
      <c r="I100" s="7"/>
      <c r="J100" s="7"/>
      <c r="K100" s="7"/>
      <c r="L100" s="7"/>
      <c r="O100" s="7"/>
    </row>
    <row r="101" spans="2:15" ht="6.75" customHeight="1" x14ac:dyDescent="0.2">
      <c r="B101" s="3"/>
      <c r="C101" s="7"/>
      <c r="D101" s="7"/>
      <c r="E101" s="7"/>
      <c r="F101" s="7"/>
      <c r="G101" s="7"/>
      <c r="H101" s="7"/>
      <c r="I101" s="7"/>
      <c r="J101" s="7"/>
      <c r="K101" s="7"/>
      <c r="L101" s="7"/>
      <c r="O101" s="7"/>
    </row>
    <row r="102" spans="2:15" ht="6.75" customHeight="1" x14ac:dyDescent="0.2">
      <c r="B102" s="3"/>
      <c r="C102" s="7"/>
      <c r="D102" s="7"/>
      <c r="E102" s="7"/>
      <c r="F102" s="7"/>
      <c r="G102" s="7"/>
      <c r="H102" s="7"/>
      <c r="I102" s="7"/>
      <c r="J102" s="7"/>
      <c r="K102" s="7"/>
      <c r="L102" s="7"/>
      <c r="O102" s="7"/>
    </row>
    <row r="103" spans="2:15" ht="6.75" customHeight="1" x14ac:dyDescent="0.2">
      <c r="B103" s="3"/>
      <c r="C103" s="7"/>
      <c r="D103" s="7"/>
      <c r="E103" s="7"/>
      <c r="F103" s="7"/>
      <c r="G103" s="7"/>
      <c r="H103" s="7"/>
      <c r="I103" s="7"/>
      <c r="J103" s="7"/>
      <c r="K103" s="7"/>
      <c r="L103" s="7"/>
      <c r="O103" s="7"/>
    </row>
    <row r="104" spans="2:15" ht="6.75" customHeight="1" x14ac:dyDescent="0.2">
      <c r="B104" s="3"/>
      <c r="C104" s="7"/>
      <c r="D104" s="7"/>
      <c r="E104" s="7"/>
      <c r="F104" s="7"/>
      <c r="G104" s="7"/>
      <c r="H104" s="7"/>
      <c r="I104" s="7"/>
      <c r="J104" s="7"/>
      <c r="K104" s="7"/>
      <c r="L104" s="7"/>
      <c r="O104" s="7"/>
    </row>
    <row r="105" spans="2:15" ht="6.75" customHeight="1" x14ac:dyDescent="0.2">
      <c r="B105" s="3"/>
      <c r="C105" s="7"/>
      <c r="D105" s="7"/>
      <c r="E105" s="7"/>
      <c r="F105" s="7"/>
      <c r="G105" s="7"/>
      <c r="H105" s="7"/>
      <c r="I105" s="7"/>
      <c r="J105" s="7"/>
      <c r="K105" s="7"/>
      <c r="L105" s="7"/>
      <c r="O105" s="7"/>
    </row>
    <row r="106" spans="2:15" ht="6.75" customHeight="1" x14ac:dyDescent="0.2">
      <c r="B106" s="3"/>
      <c r="C106" s="7"/>
      <c r="D106" s="7"/>
      <c r="E106" s="7"/>
      <c r="F106" s="7"/>
      <c r="G106" s="7"/>
      <c r="H106" s="7"/>
      <c r="I106" s="7"/>
      <c r="J106" s="7"/>
      <c r="K106" s="7"/>
      <c r="L106" s="7"/>
      <c r="O106" s="7"/>
    </row>
    <row r="107" spans="2:15" ht="6.75" customHeight="1" x14ac:dyDescent="0.2">
      <c r="B107" s="3"/>
      <c r="C107" s="7"/>
      <c r="D107" s="7"/>
      <c r="E107" s="7"/>
      <c r="F107" s="7"/>
      <c r="G107" s="7"/>
      <c r="H107" s="7"/>
      <c r="I107" s="7"/>
      <c r="J107" s="7"/>
      <c r="K107" s="7"/>
      <c r="L107" s="7"/>
      <c r="O107" s="7"/>
    </row>
    <row r="108" spans="2:15" ht="6.75" customHeight="1" x14ac:dyDescent="0.2">
      <c r="B108" s="3"/>
      <c r="C108" s="7"/>
      <c r="D108" s="7"/>
      <c r="E108" s="7"/>
      <c r="F108" s="7"/>
      <c r="G108" s="7"/>
      <c r="H108" s="7"/>
      <c r="I108" s="7"/>
      <c r="J108" s="7"/>
      <c r="K108" s="7"/>
      <c r="L108" s="7"/>
      <c r="O108" s="7"/>
    </row>
    <row r="109" spans="2:15" ht="6.75" customHeight="1" x14ac:dyDescent="0.2">
      <c r="B109" s="3"/>
      <c r="C109" s="7"/>
      <c r="D109" s="7"/>
      <c r="E109" s="7"/>
      <c r="F109" s="7"/>
      <c r="G109" s="7"/>
      <c r="H109" s="7"/>
      <c r="I109" s="7"/>
      <c r="J109" s="7"/>
      <c r="K109" s="7"/>
      <c r="L109" s="7"/>
      <c r="O109" s="7"/>
    </row>
    <row r="110" spans="2:15" ht="6.75" customHeight="1" x14ac:dyDescent="0.2">
      <c r="B110" s="3"/>
      <c r="C110" s="7"/>
      <c r="D110" s="7"/>
      <c r="E110" s="7"/>
      <c r="F110" s="7"/>
      <c r="G110" s="7"/>
      <c r="H110" s="7"/>
      <c r="I110" s="7"/>
      <c r="J110" s="7"/>
      <c r="K110" s="7"/>
      <c r="L110" s="7"/>
      <c r="O110" s="7"/>
    </row>
    <row r="111" spans="2:15" ht="6.75" customHeight="1" x14ac:dyDescent="0.2">
      <c r="B111" s="3"/>
      <c r="C111" s="7"/>
      <c r="D111" s="7"/>
      <c r="E111" s="7"/>
      <c r="F111" s="7"/>
      <c r="G111" s="7"/>
      <c r="H111" s="7"/>
      <c r="I111" s="7"/>
      <c r="J111" s="7"/>
      <c r="K111" s="7"/>
      <c r="L111" s="7"/>
      <c r="O111" s="7"/>
    </row>
    <row r="112" spans="2:15" ht="6.75" customHeight="1" x14ac:dyDescent="0.2">
      <c r="B112" s="3"/>
      <c r="C112" s="7"/>
      <c r="D112" s="7"/>
      <c r="E112" s="7"/>
      <c r="F112" s="7"/>
      <c r="G112" s="7"/>
      <c r="H112" s="7"/>
      <c r="I112" s="7"/>
      <c r="J112" s="7"/>
      <c r="K112" s="7"/>
      <c r="L112" s="7"/>
      <c r="O112" s="7"/>
    </row>
    <row r="113" spans="2:15" ht="6.75" customHeight="1" x14ac:dyDescent="0.2">
      <c r="B113" s="3"/>
      <c r="C113" s="7"/>
      <c r="D113" s="7"/>
      <c r="E113" s="7"/>
      <c r="F113" s="7"/>
      <c r="G113" s="7"/>
      <c r="H113" s="7"/>
      <c r="I113" s="7"/>
      <c r="J113" s="7"/>
      <c r="K113" s="7"/>
      <c r="L113" s="7"/>
      <c r="O113" s="7"/>
    </row>
    <row r="114" spans="2:15" ht="6.75" customHeight="1" x14ac:dyDescent="0.2">
      <c r="B114" s="3"/>
      <c r="C114" s="7"/>
      <c r="D114" s="7"/>
      <c r="E114" s="7"/>
      <c r="F114" s="7"/>
      <c r="G114" s="7"/>
      <c r="H114" s="7"/>
      <c r="I114" s="7"/>
      <c r="J114" s="7"/>
      <c r="K114" s="7"/>
      <c r="L114" s="7"/>
      <c r="O114" s="7"/>
    </row>
    <row r="115" spans="2:15" ht="6.75" customHeight="1" x14ac:dyDescent="0.2">
      <c r="B115" s="3"/>
      <c r="C115" s="7"/>
      <c r="D115" s="7"/>
      <c r="E115" s="7"/>
      <c r="F115" s="7"/>
      <c r="G115" s="7"/>
      <c r="H115" s="7"/>
      <c r="I115" s="7"/>
      <c r="J115" s="7"/>
      <c r="K115" s="7"/>
      <c r="L115" s="7"/>
      <c r="O115" s="7"/>
    </row>
    <row r="116" spans="2:15" ht="6.75" customHeight="1" x14ac:dyDescent="0.2">
      <c r="B116" s="3"/>
      <c r="C116" s="7"/>
      <c r="D116" s="7"/>
      <c r="E116" s="7"/>
      <c r="F116" s="7"/>
      <c r="G116" s="7"/>
      <c r="H116" s="7"/>
      <c r="I116" s="7"/>
      <c r="J116" s="7"/>
      <c r="K116" s="7"/>
      <c r="L116" s="7"/>
      <c r="O116" s="7"/>
    </row>
    <row r="117" spans="2:15" ht="6.75" customHeight="1" x14ac:dyDescent="0.2">
      <c r="B117" s="3"/>
      <c r="C117" s="7"/>
      <c r="D117" s="7"/>
      <c r="E117" s="7"/>
      <c r="F117" s="7"/>
      <c r="G117" s="7"/>
      <c r="H117" s="7"/>
      <c r="I117" s="7"/>
      <c r="J117" s="7"/>
      <c r="K117" s="7"/>
      <c r="L117" s="7"/>
      <c r="O117" s="7"/>
    </row>
    <row r="118" spans="2:15" ht="6.75" customHeight="1" x14ac:dyDescent="0.2">
      <c r="B118" s="3"/>
      <c r="C118" s="7"/>
      <c r="D118" s="7"/>
      <c r="E118" s="7"/>
      <c r="F118" s="7"/>
      <c r="G118" s="7"/>
      <c r="H118" s="7"/>
      <c r="I118" s="7"/>
      <c r="J118" s="7"/>
      <c r="K118" s="7"/>
      <c r="L118" s="7"/>
      <c r="O118" s="7"/>
    </row>
    <row r="119" spans="2:15" ht="6.75" customHeight="1" x14ac:dyDescent="0.2">
      <c r="B119" s="3"/>
      <c r="C119" s="7"/>
      <c r="D119" s="7"/>
      <c r="E119" s="7"/>
      <c r="F119" s="7"/>
      <c r="G119" s="7"/>
      <c r="H119" s="7"/>
      <c r="I119" s="7"/>
      <c r="J119" s="7"/>
      <c r="K119" s="7"/>
      <c r="L119" s="7"/>
      <c r="O119" s="7"/>
    </row>
    <row r="120" spans="2:15" ht="6.75" customHeight="1" x14ac:dyDescent="0.2">
      <c r="B120" s="3"/>
      <c r="C120" s="7"/>
      <c r="D120" s="7"/>
      <c r="E120" s="7"/>
      <c r="F120" s="7"/>
      <c r="G120" s="7"/>
      <c r="H120" s="7"/>
      <c r="I120" s="7"/>
      <c r="J120" s="7"/>
      <c r="K120" s="7"/>
      <c r="L120" s="7"/>
      <c r="O120" s="7"/>
    </row>
    <row r="121" spans="2:15" ht="6.75" customHeight="1" x14ac:dyDescent="0.2">
      <c r="B121" s="3"/>
      <c r="C121" s="7"/>
      <c r="D121" s="7"/>
      <c r="E121" s="7"/>
      <c r="F121" s="7"/>
      <c r="G121" s="7"/>
      <c r="H121" s="7"/>
      <c r="I121" s="7"/>
      <c r="J121" s="7"/>
      <c r="K121" s="7"/>
      <c r="L121" s="7"/>
      <c r="O121" s="7"/>
    </row>
    <row r="122" spans="2:15" ht="6.75" customHeight="1" x14ac:dyDescent="0.2">
      <c r="B122" s="3"/>
      <c r="C122" s="7"/>
      <c r="D122" s="7"/>
      <c r="E122" s="7"/>
      <c r="F122" s="7"/>
      <c r="G122" s="7"/>
      <c r="H122" s="7"/>
      <c r="I122" s="7"/>
      <c r="J122" s="7"/>
      <c r="K122" s="7"/>
      <c r="L122" s="7"/>
      <c r="O122" s="7"/>
    </row>
    <row r="123" spans="2:15" ht="6.75" customHeight="1" x14ac:dyDescent="0.2">
      <c r="B123" s="3"/>
      <c r="C123" s="7"/>
      <c r="D123" s="7"/>
      <c r="E123" s="7"/>
      <c r="F123" s="7"/>
      <c r="G123" s="7"/>
      <c r="H123" s="7"/>
      <c r="I123" s="7"/>
      <c r="J123" s="7"/>
      <c r="K123" s="7"/>
      <c r="L123" s="7"/>
      <c r="O123" s="7"/>
    </row>
    <row r="124" spans="2:15" ht="6.75" customHeight="1" x14ac:dyDescent="0.2">
      <c r="B124" s="3"/>
      <c r="C124" s="7"/>
      <c r="D124" s="7"/>
      <c r="E124" s="7"/>
      <c r="F124" s="7"/>
      <c r="G124" s="7"/>
      <c r="H124" s="7"/>
      <c r="I124" s="7"/>
      <c r="J124" s="7"/>
      <c r="K124" s="7"/>
      <c r="L124" s="7"/>
      <c r="O124" s="7"/>
    </row>
    <row r="125" spans="2:15" ht="6.75" customHeight="1" x14ac:dyDescent="0.2">
      <c r="B125" s="3"/>
      <c r="C125" s="7"/>
      <c r="D125" s="7"/>
      <c r="E125" s="7"/>
      <c r="F125" s="7"/>
      <c r="G125" s="7"/>
      <c r="H125" s="7"/>
      <c r="I125" s="7"/>
      <c r="J125" s="7"/>
      <c r="K125" s="7"/>
      <c r="L125" s="7"/>
      <c r="O125" s="7"/>
    </row>
    <row r="126" spans="2:15" ht="6.75" customHeight="1" x14ac:dyDescent="0.2">
      <c r="B126" s="3"/>
      <c r="C126" s="7"/>
      <c r="D126" s="7"/>
      <c r="E126" s="7"/>
      <c r="F126" s="7"/>
      <c r="G126" s="7"/>
      <c r="H126" s="7"/>
      <c r="I126" s="7"/>
      <c r="J126" s="7"/>
      <c r="K126" s="7"/>
      <c r="L126" s="7"/>
      <c r="O126" s="7"/>
    </row>
    <row r="127" spans="2:15" ht="6.75" customHeight="1" x14ac:dyDescent="0.2">
      <c r="B127" s="3"/>
      <c r="C127" s="7"/>
      <c r="D127" s="7"/>
      <c r="E127" s="7"/>
      <c r="F127" s="7"/>
      <c r="G127" s="7"/>
      <c r="H127" s="7"/>
      <c r="I127" s="7"/>
      <c r="J127" s="7"/>
      <c r="K127" s="7"/>
      <c r="L127" s="7"/>
      <c r="O127" s="7"/>
    </row>
    <row r="128" spans="2:15" ht="6.75" customHeight="1" x14ac:dyDescent="0.2">
      <c r="B128" s="3"/>
      <c r="C128" s="7"/>
      <c r="D128" s="7"/>
      <c r="E128" s="7"/>
      <c r="F128" s="7"/>
      <c r="G128" s="7"/>
      <c r="H128" s="7"/>
      <c r="I128" s="7"/>
      <c r="J128" s="7"/>
      <c r="K128" s="7"/>
      <c r="L128" s="7"/>
      <c r="O128" s="7"/>
    </row>
    <row r="129" spans="2:15" ht="6.75" customHeight="1" x14ac:dyDescent="0.2">
      <c r="B129" s="3"/>
      <c r="C129" s="7"/>
      <c r="D129" s="7"/>
      <c r="E129" s="7"/>
      <c r="F129" s="7"/>
      <c r="G129" s="7"/>
      <c r="H129" s="7"/>
      <c r="I129" s="7"/>
      <c r="J129" s="7"/>
      <c r="K129" s="7"/>
      <c r="L129" s="7"/>
      <c r="O129" s="7"/>
    </row>
    <row r="130" spans="2:15" ht="6.75" customHeight="1" x14ac:dyDescent="0.2">
      <c r="B130" s="3"/>
      <c r="C130" s="7"/>
      <c r="D130" s="7"/>
      <c r="E130" s="7"/>
      <c r="F130" s="7"/>
      <c r="G130" s="7"/>
      <c r="H130" s="7"/>
      <c r="I130" s="7"/>
      <c r="J130" s="7"/>
      <c r="K130" s="7"/>
      <c r="L130" s="7"/>
      <c r="O130" s="7"/>
    </row>
    <row r="131" spans="2:15" ht="6.75" customHeight="1" x14ac:dyDescent="0.2">
      <c r="B131" s="3"/>
      <c r="C131" s="7"/>
      <c r="D131" s="7"/>
      <c r="E131" s="7"/>
      <c r="F131" s="7"/>
      <c r="G131" s="7"/>
      <c r="H131" s="7"/>
      <c r="I131" s="7"/>
      <c r="J131" s="7"/>
      <c r="K131" s="7"/>
      <c r="L131" s="7"/>
      <c r="O131" s="7"/>
    </row>
    <row r="132" spans="2:15" ht="6.75" customHeight="1" x14ac:dyDescent="0.2">
      <c r="B132" s="3"/>
      <c r="C132" s="7"/>
      <c r="D132" s="7"/>
      <c r="E132" s="7"/>
      <c r="F132" s="7"/>
      <c r="G132" s="7"/>
      <c r="H132" s="7"/>
      <c r="I132" s="7"/>
      <c r="J132" s="7"/>
      <c r="K132" s="7"/>
      <c r="L132" s="7"/>
      <c r="O132" s="7"/>
    </row>
    <row r="133" spans="2:15" ht="6.75" customHeight="1" x14ac:dyDescent="0.2">
      <c r="B133" s="3"/>
      <c r="C133" s="7"/>
      <c r="D133" s="7"/>
      <c r="E133" s="7"/>
      <c r="F133" s="7"/>
      <c r="G133" s="7"/>
      <c r="H133" s="7"/>
      <c r="I133" s="7"/>
      <c r="J133" s="7"/>
      <c r="K133" s="7"/>
      <c r="L133" s="7"/>
      <c r="O133" s="7"/>
    </row>
    <row r="134" spans="2:15" ht="6.75" customHeight="1" x14ac:dyDescent="0.2">
      <c r="B134" s="3"/>
      <c r="C134" s="7"/>
      <c r="D134" s="7"/>
      <c r="E134" s="7"/>
      <c r="F134" s="7"/>
      <c r="G134" s="7"/>
      <c r="H134" s="7"/>
      <c r="I134" s="7"/>
      <c r="J134" s="7"/>
      <c r="K134" s="7"/>
      <c r="L134" s="7"/>
      <c r="O134" s="7"/>
    </row>
    <row r="135" spans="2:15" ht="6.75" customHeight="1" x14ac:dyDescent="0.2">
      <c r="B135" s="3"/>
      <c r="C135" s="7"/>
      <c r="D135" s="7"/>
      <c r="E135" s="7"/>
      <c r="F135" s="7"/>
      <c r="G135" s="7"/>
      <c r="H135" s="7"/>
      <c r="I135" s="7"/>
      <c r="J135" s="7"/>
      <c r="K135" s="7"/>
      <c r="L135" s="7"/>
      <c r="O135" s="7"/>
    </row>
    <row r="136" spans="2:15" ht="6.75" customHeight="1" x14ac:dyDescent="0.2">
      <c r="B136" s="3"/>
      <c r="C136" s="7"/>
      <c r="D136" s="7"/>
      <c r="E136" s="7"/>
      <c r="F136" s="7"/>
      <c r="G136" s="7"/>
      <c r="H136" s="7"/>
      <c r="I136" s="7"/>
      <c r="J136" s="7"/>
      <c r="K136" s="7"/>
      <c r="L136" s="7"/>
      <c r="O136" s="7"/>
    </row>
    <row r="137" spans="2:15" ht="6.75" customHeight="1" x14ac:dyDescent="0.2">
      <c r="B137" s="3"/>
      <c r="C137" s="7"/>
      <c r="D137" s="7"/>
      <c r="E137" s="7"/>
      <c r="F137" s="7"/>
      <c r="G137" s="7"/>
      <c r="H137" s="7"/>
      <c r="I137" s="7"/>
      <c r="J137" s="7"/>
      <c r="K137" s="7"/>
      <c r="L137" s="7"/>
      <c r="O137" s="7"/>
    </row>
    <row r="138" spans="2:15" ht="6.75" customHeight="1" x14ac:dyDescent="0.2">
      <c r="B138" s="3"/>
      <c r="C138" s="7"/>
      <c r="D138" s="7"/>
      <c r="E138" s="7"/>
      <c r="F138" s="7"/>
      <c r="G138" s="7"/>
      <c r="H138" s="7"/>
      <c r="I138" s="7"/>
      <c r="J138" s="7"/>
      <c r="K138" s="7"/>
      <c r="L138" s="7"/>
      <c r="O138" s="7"/>
    </row>
    <row r="139" spans="2:15" ht="6.75" customHeight="1" x14ac:dyDescent="0.2">
      <c r="B139" s="3"/>
      <c r="C139" s="7"/>
      <c r="D139" s="7"/>
      <c r="E139" s="7"/>
      <c r="F139" s="7"/>
      <c r="G139" s="7"/>
      <c r="H139" s="7"/>
      <c r="I139" s="7"/>
      <c r="J139" s="7"/>
      <c r="K139" s="7"/>
      <c r="L139" s="7"/>
      <c r="O139" s="7"/>
    </row>
    <row r="140" spans="2:15" ht="6.75" customHeight="1" x14ac:dyDescent="0.2">
      <c r="B140" s="3"/>
      <c r="C140" s="7"/>
      <c r="D140" s="7"/>
      <c r="E140" s="7"/>
      <c r="F140" s="7"/>
      <c r="G140" s="7"/>
      <c r="H140" s="7"/>
      <c r="I140" s="7"/>
      <c r="J140" s="7"/>
      <c r="K140" s="7"/>
      <c r="L140" s="7"/>
      <c r="O140" s="7"/>
    </row>
    <row r="141" spans="2:15" ht="6.75" customHeight="1" x14ac:dyDescent="0.2">
      <c r="B141" s="3"/>
      <c r="C141" s="7"/>
      <c r="D141" s="7"/>
      <c r="E141" s="7"/>
      <c r="F141" s="7"/>
      <c r="G141" s="7"/>
      <c r="H141" s="7"/>
      <c r="I141" s="7"/>
      <c r="J141" s="7"/>
      <c r="K141" s="7"/>
      <c r="L141" s="7"/>
      <c r="O141" s="7"/>
    </row>
    <row r="142" spans="2:15" ht="6.75" customHeight="1" x14ac:dyDescent="0.2">
      <c r="B142" s="3"/>
      <c r="C142" s="7"/>
      <c r="D142" s="7"/>
      <c r="E142" s="7"/>
      <c r="F142" s="7"/>
      <c r="G142" s="7"/>
      <c r="H142" s="7"/>
      <c r="I142" s="7"/>
      <c r="J142" s="7"/>
      <c r="K142" s="7"/>
      <c r="L142" s="7"/>
      <c r="O142" s="7"/>
    </row>
    <row r="143" spans="2:15" ht="6.75" customHeight="1" x14ac:dyDescent="0.2">
      <c r="B143" s="3"/>
      <c r="C143" s="7"/>
      <c r="D143" s="7"/>
      <c r="E143" s="7"/>
      <c r="F143" s="7"/>
      <c r="G143" s="7"/>
      <c r="H143" s="7"/>
      <c r="I143" s="7"/>
      <c r="J143" s="7"/>
      <c r="K143" s="7"/>
      <c r="L143" s="7"/>
      <c r="O143" s="7"/>
    </row>
    <row r="144" spans="2:15" ht="6.75" customHeight="1" x14ac:dyDescent="0.2">
      <c r="B144" s="3"/>
      <c r="C144" s="7"/>
      <c r="D144" s="7"/>
      <c r="E144" s="7"/>
      <c r="F144" s="7"/>
      <c r="G144" s="7"/>
      <c r="H144" s="7"/>
      <c r="I144" s="7"/>
      <c r="J144" s="7"/>
      <c r="K144" s="7"/>
      <c r="L144" s="7"/>
      <c r="O144" s="7"/>
    </row>
    <row r="145" spans="2:15" ht="6.75" customHeight="1" x14ac:dyDescent="0.2">
      <c r="B145" s="3"/>
      <c r="C145" s="7"/>
      <c r="D145" s="7"/>
      <c r="E145" s="7"/>
      <c r="F145" s="7"/>
      <c r="G145" s="7"/>
      <c r="H145" s="7"/>
      <c r="I145" s="7"/>
      <c r="J145" s="7"/>
      <c r="K145" s="7"/>
      <c r="L145" s="7"/>
      <c r="O145" s="7"/>
    </row>
    <row r="146" spans="2:15" ht="6.75" customHeight="1" x14ac:dyDescent="0.2">
      <c r="B146" s="3"/>
      <c r="C146" s="7"/>
      <c r="D146" s="7"/>
      <c r="E146" s="7"/>
      <c r="F146" s="7"/>
      <c r="G146" s="7"/>
      <c r="H146" s="7"/>
      <c r="I146" s="7"/>
      <c r="J146" s="7"/>
      <c r="K146" s="7"/>
      <c r="L146" s="7"/>
      <c r="O146" s="7"/>
    </row>
    <row r="147" spans="2:15" ht="6.75" customHeight="1" x14ac:dyDescent="0.2">
      <c r="B147" s="3"/>
      <c r="C147" s="7"/>
      <c r="D147" s="7"/>
      <c r="E147" s="7"/>
      <c r="F147" s="7"/>
      <c r="G147" s="7"/>
      <c r="H147" s="7"/>
      <c r="I147" s="7"/>
      <c r="J147" s="7"/>
      <c r="K147" s="7"/>
      <c r="L147" s="7"/>
      <c r="O147" s="7"/>
    </row>
    <row r="148" spans="2:15" ht="6.75" customHeight="1" x14ac:dyDescent="0.2">
      <c r="B148" s="3"/>
      <c r="C148" s="7"/>
      <c r="D148" s="7"/>
      <c r="E148" s="7"/>
      <c r="F148" s="7"/>
      <c r="G148" s="7"/>
      <c r="H148" s="7"/>
      <c r="I148" s="7"/>
      <c r="J148" s="7"/>
      <c r="K148" s="7"/>
      <c r="L148" s="7"/>
      <c r="O148" s="7"/>
    </row>
    <row r="149" spans="2:15" ht="6.75" customHeight="1" x14ac:dyDescent="0.2">
      <c r="B149" s="3"/>
      <c r="C149" s="7"/>
      <c r="D149" s="7"/>
      <c r="E149" s="7"/>
      <c r="F149" s="7"/>
      <c r="G149" s="7"/>
      <c r="H149" s="7"/>
      <c r="I149" s="7"/>
      <c r="J149" s="7"/>
      <c r="K149" s="7"/>
      <c r="L149" s="7"/>
      <c r="O149" s="7"/>
    </row>
    <row r="150" spans="2:15" ht="6.75" customHeight="1" x14ac:dyDescent="0.2">
      <c r="B150" s="3"/>
      <c r="C150" s="7"/>
      <c r="D150" s="7"/>
      <c r="E150" s="7"/>
      <c r="F150" s="7"/>
      <c r="G150" s="7"/>
      <c r="H150" s="7"/>
      <c r="I150" s="7"/>
      <c r="J150" s="7"/>
      <c r="K150" s="7"/>
      <c r="L150" s="7"/>
      <c r="O150" s="7"/>
    </row>
    <row r="151" spans="2:15" ht="6.75" customHeight="1" x14ac:dyDescent="0.2">
      <c r="B151" s="3"/>
      <c r="C151" s="7"/>
      <c r="D151" s="7"/>
      <c r="E151" s="7"/>
      <c r="F151" s="7"/>
      <c r="G151" s="7"/>
      <c r="H151" s="7"/>
      <c r="I151" s="7"/>
      <c r="J151" s="7"/>
      <c r="K151" s="7"/>
      <c r="L151" s="7"/>
      <c r="O151" s="7"/>
    </row>
    <row r="152" spans="2:15" ht="6.75" customHeight="1" x14ac:dyDescent="0.2">
      <c r="B152" s="3"/>
      <c r="C152" s="7"/>
      <c r="D152" s="7"/>
      <c r="E152" s="7"/>
      <c r="F152" s="7"/>
      <c r="G152" s="7"/>
      <c r="H152" s="7"/>
      <c r="I152" s="7"/>
      <c r="J152" s="7"/>
      <c r="K152" s="7"/>
      <c r="L152" s="7"/>
      <c r="O152" s="7"/>
    </row>
    <row r="153" spans="2:15" ht="6.75" customHeight="1" x14ac:dyDescent="0.2">
      <c r="B153" s="3"/>
      <c r="C153" s="7"/>
      <c r="D153" s="7"/>
      <c r="E153" s="7"/>
      <c r="F153" s="7"/>
      <c r="G153" s="7"/>
      <c r="H153" s="7"/>
      <c r="I153" s="7"/>
      <c r="J153" s="7"/>
      <c r="K153" s="7"/>
      <c r="L153" s="7"/>
      <c r="O153" s="7"/>
    </row>
    <row r="154" spans="2:15" ht="6.75" customHeight="1" x14ac:dyDescent="0.2">
      <c r="B154" s="3"/>
      <c r="C154" s="7"/>
      <c r="D154" s="7"/>
      <c r="E154" s="7"/>
      <c r="F154" s="7"/>
      <c r="G154" s="7"/>
      <c r="H154" s="7"/>
      <c r="I154" s="7"/>
      <c r="J154" s="7"/>
      <c r="K154" s="7"/>
      <c r="L154" s="7"/>
      <c r="O154" s="7"/>
    </row>
    <row r="155" spans="2:15" ht="6.75" customHeight="1" x14ac:dyDescent="0.2">
      <c r="B155" s="3"/>
      <c r="C155" s="7"/>
      <c r="D155" s="7"/>
      <c r="E155" s="7"/>
      <c r="F155" s="7"/>
      <c r="G155" s="7"/>
      <c r="H155" s="7"/>
      <c r="I155" s="7"/>
      <c r="J155" s="7"/>
      <c r="K155" s="7"/>
      <c r="L155" s="7"/>
      <c r="O155" s="7"/>
    </row>
    <row r="156" spans="2:15" ht="6.75" customHeight="1" x14ac:dyDescent="0.2">
      <c r="B156" s="3"/>
      <c r="C156" s="7"/>
      <c r="D156" s="7"/>
      <c r="E156" s="7"/>
      <c r="F156" s="7"/>
      <c r="G156" s="7"/>
      <c r="H156" s="7"/>
      <c r="I156" s="7"/>
      <c r="J156" s="7"/>
      <c r="K156" s="7"/>
      <c r="L156" s="7"/>
      <c r="O156" s="7"/>
    </row>
    <row r="157" spans="2:15" ht="6.75" customHeight="1" x14ac:dyDescent="0.2">
      <c r="B157" s="3"/>
      <c r="C157" s="7"/>
      <c r="D157" s="7"/>
      <c r="E157" s="7"/>
      <c r="F157" s="7"/>
      <c r="G157" s="7"/>
      <c r="H157" s="7"/>
      <c r="I157" s="7"/>
      <c r="J157" s="7"/>
      <c r="K157" s="7"/>
      <c r="L157" s="7"/>
      <c r="O157" s="7"/>
    </row>
    <row r="158" spans="2:15" ht="6.75" customHeight="1" x14ac:dyDescent="0.2">
      <c r="B158" s="3"/>
      <c r="C158" s="7"/>
      <c r="D158" s="7"/>
      <c r="E158" s="7"/>
      <c r="F158" s="7"/>
      <c r="G158" s="7"/>
      <c r="H158" s="7"/>
      <c r="I158" s="7"/>
      <c r="J158" s="7"/>
      <c r="K158" s="7"/>
      <c r="L158" s="7"/>
      <c r="O158" s="7"/>
    </row>
    <row r="159" spans="2:15" ht="6.75" customHeight="1" x14ac:dyDescent="0.2">
      <c r="B159" s="3"/>
      <c r="C159" s="7"/>
      <c r="D159" s="7"/>
      <c r="E159" s="7"/>
      <c r="F159" s="7"/>
      <c r="G159" s="7"/>
      <c r="H159" s="7"/>
      <c r="I159" s="7"/>
      <c r="J159" s="7"/>
      <c r="K159" s="7"/>
      <c r="L159" s="7"/>
      <c r="O159" s="7"/>
    </row>
    <row r="160" spans="2:15" ht="6.75" customHeight="1" x14ac:dyDescent="0.2">
      <c r="B160" s="3"/>
      <c r="C160" s="7"/>
      <c r="D160" s="7"/>
      <c r="E160" s="7"/>
      <c r="F160" s="7"/>
      <c r="G160" s="7"/>
      <c r="H160" s="7"/>
      <c r="I160" s="7"/>
      <c r="J160" s="7"/>
      <c r="K160" s="7"/>
      <c r="L160" s="7"/>
      <c r="O160" s="7"/>
    </row>
    <row r="161" spans="2:15" ht="6.75" customHeight="1" x14ac:dyDescent="0.2">
      <c r="B161" s="3"/>
      <c r="C161" s="7"/>
      <c r="D161" s="7"/>
      <c r="E161" s="7"/>
      <c r="F161" s="7"/>
      <c r="G161" s="7"/>
      <c r="H161" s="7"/>
      <c r="I161" s="7"/>
      <c r="J161" s="7"/>
      <c r="K161" s="7"/>
      <c r="L161" s="7"/>
      <c r="O161" s="7"/>
    </row>
    <row r="162" spans="2:15" ht="6.75" customHeight="1" x14ac:dyDescent="0.2">
      <c r="B162" s="3"/>
      <c r="C162" s="7"/>
      <c r="D162" s="7"/>
      <c r="E162" s="7"/>
      <c r="F162" s="7"/>
      <c r="G162" s="7"/>
      <c r="H162" s="7"/>
      <c r="I162" s="7"/>
      <c r="J162" s="7"/>
      <c r="K162" s="7"/>
      <c r="L162" s="7"/>
      <c r="O162" s="7"/>
    </row>
    <row r="163" spans="2:15" ht="6.75" customHeight="1" x14ac:dyDescent="0.2">
      <c r="B163" s="3"/>
      <c r="C163" s="7"/>
      <c r="D163" s="7"/>
      <c r="E163" s="7"/>
      <c r="F163" s="7"/>
      <c r="G163" s="7"/>
      <c r="H163" s="7"/>
      <c r="I163" s="7"/>
      <c r="J163" s="7"/>
      <c r="K163" s="7"/>
      <c r="L163" s="7"/>
      <c r="O163" s="7"/>
    </row>
  </sheetData>
  <sheetProtection password="D6EF" sheet="1" objects="1" scenarios="1" selectLockedCells="1"/>
  <mergeCells count="510">
    <mergeCell ref="A1:BK1"/>
    <mergeCell ref="A2:BK2"/>
    <mergeCell ref="A3:BK3"/>
    <mergeCell ref="A4:BK4"/>
    <mergeCell ref="A5:BK5"/>
    <mergeCell ref="A7:A8"/>
    <mergeCell ref="B7:K8"/>
    <mergeCell ref="L7:L8"/>
    <mergeCell ref="Z10:Z11"/>
    <mergeCell ref="A11:A12"/>
    <mergeCell ref="B11:B12"/>
    <mergeCell ref="C11:C12"/>
    <mergeCell ref="D11:D12"/>
    <mergeCell ref="E11:E12"/>
    <mergeCell ref="F11:F12"/>
    <mergeCell ref="G11:G12"/>
    <mergeCell ref="G9:G10"/>
    <mergeCell ref="H9:H10"/>
    <mergeCell ref="I9:I10"/>
    <mergeCell ref="J9:J10"/>
    <mergeCell ref="K9:K10"/>
    <mergeCell ref="L9:L10"/>
    <mergeCell ref="A9:A10"/>
    <mergeCell ref="B9:B10"/>
    <mergeCell ref="A13:A14"/>
    <mergeCell ref="B13:K14"/>
    <mergeCell ref="L13:L14"/>
    <mergeCell ref="O10:O11"/>
    <mergeCell ref="P10:Y11"/>
    <mergeCell ref="A17:A18"/>
    <mergeCell ref="B17:K18"/>
    <mergeCell ref="L17:L18"/>
    <mergeCell ref="AC15:AC16"/>
    <mergeCell ref="C9:C10"/>
    <mergeCell ref="D9:D10"/>
    <mergeCell ref="E9:E10"/>
    <mergeCell ref="F9:F10"/>
    <mergeCell ref="S14:S15"/>
    <mergeCell ref="T14:T15"/>
    <mergeCell ref="H11:H12"/>
    <mergeCell ref="I11:I12"/>
    <mergeCell ref="J11:J12"/>
    <mergeCell ref="K11:K12"/>
    <mergeCell ref="L11:L12"/>
    <mergeCell ref="AD15:AM16"/>
    <mergeCell ref="AN15:AN16"/>
    <mergeCell ref="O16:O17"/>
    <mergeCell ref="P16:P17"/>
    <mergeCell ref="Q16:Q17"/>
    <mergeCell ref="R16:R17"/>
    <mergeCell ref="S16:S17"/>
    <mergeCell ref="T16:T17"/>
    <mergeCell ref="U16:U17"/>
    <mergeCell ref="U14:U15"/>
    <mergeCell ref="V14:V15"/>
    <mergeCell ref="W14:W15"/>
    <mergeCell ref="X14:X15"/>
    <mergeCell ref="Y14:Y15"/>
    <mergeCell ref="Z14:Z15"/>
    <mergeCell ref="O14:O15"/>
    <mergeCell ref="P14:P15"/>
    <mergeCell ref="Q14:Q15"/>
    <mergeCell ref="R14:R15"/>
    <mergeCell ref="AQ17:BB18"/>
    <mergeCell ref="A19:A20"/>
    <mergeCell ref="B19:B20"/>
    <mergeCell ref="C19:C20"/>
    <mergeCell ref="D19:D20"/>
    <mergeCell ref="E19:E20"/>
    <mergeCell ref="F19:F20"/>
    <mergeCell ref="G19:G20"/>
    <mergeCell ref="H19:H20"/>
    <mergeCell ref="I19:I20"/>
    <mergeCell ref="V16:V17"/>
    <mergeCell ref="W16:W17"/>
    <mergeCell ref="X16:X17"/>
    <mergeCell ref="Y16:Y17"/>
    <mergeCell ref="Z16:Z17"/>
    <mergeCell ref="AQ20:AQ21"/>
    <mergeCell ref="AR20:BA21"/>
    <mergeCell ref="BB20:BB21"/>
    <mergeCell ref="A21:A22"/>
    <mergeCell ref="B21:B22"/>
    <mergeCell ref="C21:C22"/>
    <mergeCell ref="D21:D22"/>
    <mergeCell ref="E21:E22"/>
    <mergeCell ref="F21:F22"/>
    <mergeCell ref="G21:G22"/>
    <mergeCell ref="J19:J20"/>
    <mergeCell ref="K19:K20"/>
    <mergeCell ref="L19:L20"/>
    <mergeCell ref="O20:O21"/>
    <mergeCell ref="P20:Y21"/>
    <mergeCell ref="Z20:Z21"/>
    <mergeCell ref="H21:H22"/>
    <mergeCell ref="I21:I22"/>
    <mergeCell ref="J21:J22"/>
    <mergeCell ref="K21:K22"/>
    <mergeCell ref="L21:L22"/>
    <mergeCell ref="A23:A24"/>
    <mergeCell ref="B23:K24"/>
    <mergeCell ref="L23:L24"/>
    <mergeCell ref="AK24:AK25"/>
    <mergeCell ref="AL24:AL25"/>
    <mergeCell ref="AM24:AM25"/>
    <mergeCell ref="AN24:AN25"/>
    <mergeCell ref="AC24:AC25"/>
    <mergeCell ref="AD24:AD25"/>
    <mergeCell ref="AE24:AE25"/>
    <mergeCell ref="AF24:AF25"/>
    <mergeCell ref="AG24:AG25"/>
    <mergeCell ref="AH24:AH25"/>
    <mergeCell ref="BE25:BE26"/>
    <mergeCell ref="BF25:BJ26"/>
    <mergeCell ref="BK25:BK26"/>
    <mergeCell ref="AC26:AC27"/>
    <mergeCell ref="AD26:AD27"/>
    <mergeCell ref="AE26:AE27"/>
    <mergeCell ref="AF26:AF27"/>
    <mergeCell ref="AG26:AG27"/>
    <mergeCell ref="AH26:AH27"/>
    <mergeCell ref="AI26:AI27"/>
    <mergeCell ref="AW24:AW25"/>
    <mergeCell ref="AX24:AX25"/>
    <mergeCell ref="AY24:AY25"/>
    <mergeCell ref="AZ24:AZ25"/>
    <mergeCell ref="BA24:BA25"/>
    <mergeCell ref="BB24:BB25"/>
    <mergeCell ref="AQ24:AQ25"/>
    <mergeCell ref="AR24:AR25"/>
    <mergeCell ref="AS24:AS25"/>
    <mergeCell ref="AT24:AT25"/>
    <mergeCell ref="AU24:AU25"/>
    <mergeCell ref="AV24:AV25"/>
    <mergeCell ref="AI24:AI25"/>
    <mergeCell ref="AJ24:AJ25"/>
    <mergeCell ref="E29:E30"/>
    <mergeCell ref="F29:F30"/>
    <mergeCell ref="AX26:AX27"/>
    <mergeCell ref="AY26:AY27"/>
    <mergeCell ref="AZ26:AZ27"/>
    <mergeCell ref="BA26:BA27"/>
    <mergeCell ref="BB26:BB27"/>
    <mergeCell ref="A27:A28"/>
    <mergeCell ref="B27:K28"/>
    <mergeCell ref="L27:L28"/>
    <mergeCell ref="AR26:AR27"/>
    <mergeCell ref="AS26:AS27"/>
    <mergeCell ref="AT26:AT27"/>
    <mergeCell ref="AU26:AU27"/>
    <mergeCell ref="AV26:AV27"/>
    <mergeCell ref="AW26:AW27"/>
    <mergeCell ref="AJ26:AJ27"/>
    <mergeCell ref="AK26:AK27"/>
    <mergeCell ref="AL26:AL27"/>
    <mergeCell ref="AM26:AM27"/>
    <mergeCell ref="AN26:AN27"/>
    <mergeCell ref="AQ26:AQ27"/>
    <mergeCell ref="Z30:Z31"/>
    <mergeCell ref="AQ30:AQ31"/>
    <mergeCell ref="AR30:BA31"/>
    <mergeCell ref="BB30:BB31"/>
    <mergeCell ref="G29:G30"/>
    <mergeCell ref="H29:H30"/>
    <mergeCell ref="I29:I30"/>
    <mergeCell ref="J29:J30"/>
    <mergeCell ref="K29:K30"/>
    <mergeCell ref="L29:L30"/>
    <mergeCell ref="V34:V35"/>
    <mergeCell ref="AN35:AN36"/>
    <mergeCell ref="O36:O37"/>
    <mergeCell ref="P36:P37"/>
    <mergeCell ref="Q36:Q37"/>
    <mergeCell ref="R36:R37"/>
    <mergeCell ref="S36:S37"/>
    <mergeCell ref="T36:T37"/>
    <mergeCell ref="U36:U37"/>
    <mergeCell ref="V36:V37"/>
    <mergeCell ref="W36:W37"/>
    <mergeCell ref="X34:X35"/>
    <mergeCell ref="Y34:Y35"/>
    <mergeCell ref="Z34:Z35"/>
    <mergeCell ref="AC35:AC36"/>
    <mergeCell ref="AD35:AM36"/>
    <mergeCell ref="A33:A34"/>
    <mergeCell ref="B33:K34"/>
    <mergeCell ref="L33:L34"/>
    <mergeCell ref="O34:O35"/>
    <mergeCell ref="P34:P35"/>
    <mergeCell ref="G31:G32"/>
    <mergeCell ref="H31:H32"/>
    <mergeCell ref="I31:I32"/>
    <mergeCell ref="J31:J32"/>
    <mergeCell ref="K31:K32"/>
    <mergeCell ref="L31:L32"/>
    <mergeCell ref="A31:A32"/>
    <mergeCell ref="B31:B32"/>
    <mergeCell ref="C31:C32"/>
    <mergeCell ref="D31:D32"/>
    <mergeCell ref="E31:E32"/>
    <mergeCell ref="F31:F32"/>
    <mergeCell ref="O30:O31"/>
    <mergeCell ref="P30:Y31"/>
    <mergeCell ref="A29:A30"/>
    <mergeCell ref="B29:B30"/>
    <mergeCell ref="C29:C30"/>
    <mergeCell ref="D29:D30"/>
    <mergeCell ref="W34:W35"/>
    <mergeCell ref="X36:X37"/>
    <mergeCell ref="Y36:Y37"/>
    <mergeCell ref="Z36:Z37"/>
    <mergeCell ref="Q34:Q35"/>
    <mergeCell ref="R34:R35"/>
    <mergeCell ref="S34:S35"/>
    <mergeCell ref="T34:T35"/>
    <mergeCell ref="U34:U35"/>
    <mergeCell ref="F41:F42"/>
    <mergeCell ref="G39:G40"/>
    <mergeCell ref="H39:H40"/>
    <mergeCell ref="I39:I40"/>
    <mergeCell ref="J39:J40"/>
    <mergeCell ref="K39:K40"/>
    <mergeCell ref="L39:L40"/>
    <mergeCell ref="A37:A38"/>
    <mergeCell ref="B37:K38"/>
    <mergeCell ref="L37:L38"/>
    <mergeCell ref="A39:A40"/>
    <mergeCell ref="B39:B40"/>
    <mergeCell ref="C39:C40"/>
    <mergeCell ref="D39:D40"/>
    <mergeCell ref="E39:E40"/>
    <mergeCell ref="F39:F40"/>
    <mergeCell ref="BE42:BE43"/>
    <mergeCell ref="BF42:BJ43"/>
    <mergeCell ref="BK42:BK43"/>
    <mergeCell ref="A43:A44"/>
    <mergeCell ref="B43:K44"/>
    <mergeCell ref="L43:L44"/>
    <mergeCell ref="BE44:BE45"/>
    <mergeCell ref="BF44:BJ45"/>
    <mergeCell ref="BK44:BK45"/>
    <mergeCell ref="G41:G42"/>
    <mergeCell ref="H41:H42"/>
    <mergeCell ref="I41:I42"/>
    <mergeCell ref="J41:J42"/>
    <mergeCell ref="K41:K42"/>
    <mergeCell ref="L41:L42"/>
    <mergeCell ref="O40:O41"/>
    <mergeCell ref="P40:Y41"/>
    <mergeCell ref="Z40:Z41"/>
    <mergeCell ref="BE40:BK41"/>
    <mergeCell ref="A41:A42"/>
    <mergeCell ref="B41:B42"/>
    <mergeCell ref="C41:C42"/>
    <mergeCell ref="D41:D42"/>
    <mergeCell ref="E41:E42"/>
    <mergeCell ref="BE46:BE47"/>
    <mergeCell ref="BF46:BJ47"/>
    <mergeCell ref="BK46:BK47"/>
    <mergeCell ref="A47:A48"/>
    <mergeCell ref="B47:K48"/>
    <mergeCell ref="L47:L48"/>
    <mergeCell ref="BE48:BE49"/>
    <mergeCell ref="BF48:BJ49"/>
    <mergeCell ref="BK48:BK49"/>
    <mergeCell ref="Z50:Z51"/>
    <mergeCell ref="A51:A52"/>
    <mergeCell ref="B51:B52"/>
    <mergeCell ref="C51:C52"/>
    <mergeCell ref="D51:D52"/>
    <mergeCell ref="E51:E52"/>
    <mergeCell ref="F51:F52"/>
    <mergeCell ref="G51:G52"/>
    <mergeCell ref="G49:G50"/>
    <mergeCell ref="H49:H50"/>
    <mergeCell ref="I49:I50"/>
    <mergeCell ref="J49:J50"/>
    <mergeCell ref="K49:K50"/>
    <mergeCell ref="L49:L50"/>
    <mergeCell ref="A49:A50"/>
    <mergeCell ref="B49:B50"/>
    <mergeCell ref="C49:C50"/>
    <mergeCell ref="D49:D50"/>
    <mergeCell ref="E49:E50"/>
    <mergeCell ref="F49:F50"/>
    <mergeCell ref="T54:T55"/>
    <mergeCell ref="H51:H52"/>
    <mergeCell ref="I51:I52"/>
    <mergeCell ref="J51:J52"/>
    <mergeCell ref="K51:K52"/>
    <mergeCell ref="L51:L52"/>
    <mergeCell ref="A53:A54"/>
    <mergeCell ref="B53:K54"/>
    <mergeCell ref="L53:L54"/>
    <mergeCell ref="O50:O51"/>
    <mergeCell ref="P50:Y51"/>
    <mergeCell ref="A57:A58"/>
    <mergeCell ref="B57:K58"/>
    <mergeCell ref="L57:L58"/>
    <mergeCell ref="AC55:AC56"/>
    <mergeCell ref="AD55:AM56"/>
    <mergeCell ref="AN55:AN56"/>
    <mergeCell ref="O56:O57"/>
    <mergeCell ref="P56:P57"/>
    <mergeCell ref="Q56:Q57"/>
    <mergeCell ref="R56:R57"/>
    <mergeCell ref="S56:S57"/>
    <mergeCell ref="T56:T57"/>
    <mergeCell ref="U56:U57"/>
    <mergeCell ref="U54:U55"/>
    <mergeCell ref="V54:V55"/>
    <mergeCell ref="W54:W55"/>
    <mergeCell ref="X54:X55"/>
    <mergeCell ref="Y54:Y55"/>
    <mergeCell ref="Z54:Z55"/>
    <mergeCell ref="O54:O55"/>
    <mergeCell ref="P54:P55"/>
    <mergeCell ref="Q54:Q55"/>
    <mergeCell ref="R54:R55"/>
    <mergeCell ref="S54:S55"/>
    <mergeCell ref="AQ57:BB58"/>
    <mergeCell ref="A59:A60"/>
    <mergeCell ref="B59:B60"/>
    <mergeCell ref="C59:C60"/>
    <mergeCell ref="D59:D60"/>
    <mergeCell ref="E59:E60"/>
    <mergeCell ref="F59:F60"/>
    <mergeCell ref="G59:G60"/>
    <mergeCell ref="H59:H60"/>
    <mergeCell ref="I59:I60"/>
    <mergeCell ref="V56:V57"/>
    <mergeCell ref="W56:W57"/>
    <mergeCell ref="X56:X57"/>
    <mergeCell ref="Y56:Y57"/>
    <mergeCell ref="Z56:Z57"/>
    <mergeCell ref="AQ60:AQ61"/>
    <mergeCell ref="AR60:BA61"/>
    <mergeCell ref="BB60:BB61"/>
    <mergeCell ref="A61:A62"/>
    <mergeCell ref="B61:B62"/>
    <mergeCell ref="C61:C62"/>
    <mergeCell ref="D61:D62"/>
    <mergeCell ref="E61:E62"/>
    <mergeCell ref="F61:F62"/>
    <mergeCell ref="G61:G62"/>
    <mergeCell ref="J59:J60"/>
    <mergeCell ref="K59:K60"/>
    <mergeCell ref="L59:L60"/>
    <mergeCell ref="O60:O61"/>
    <mergeCell ref="P60:Y61"/>
    <mergeCell ref="Z60:Z61"/>
    <mergeCell ref="H61:H62"/>
    <mergeCell ref="I61:I62"/>
    <mergeCell ref="J61:J62"/>
    <mergeCell ref="K61:K62"/>
    <mergeCell ref="L61:L62"/>
    <mergeCell ref="A63:A64"/>
    <mergeCell ref="B63:K64"/>
    <mergeCell ref="L63:L64"/>
    <mergeCell ref="AK64:AK65"/>
    <mergeCell ref="AL64:AL65"/>
    <mergeCell ref="AM64:AM65"/>
    <mergeCell ref="AN64:AN65"/>
    <mergeCell ref="AC64:AC65"/>
    <mergeCell ref="AD64:AD65"/>
    <mergeCell ref="AE64:AE65"/>
    <mergeCell ref="AF64:AF65"/>
    <mergeCell ref="AG64:AG65"/>
    <mergeCell ref="AH64:AH65"/>
    <mergeCell ref="BE65:BE66"/>
    <mergeCell ref="BF65:BJ66"/>
    <mergeCell ref="BK65:BK66"/>
    <mergeCell ref="AC66:AC67"/>
    <mergeCell ref="AD66:AD67"/>
    <mergeCell ref="AE66:AE67"/>
    <mergeCell ref="AF66:AF67"/>
    <mergeCell ref="AG66:AG67"/>
    <mergeCell ref="AH66:AH67"/>
    <mergeCell ref="AI66:AI67"/>
    <mergeCell ref="AW64:AW65"/>
    <mergeCell ref="AX64:AX65"/>
    <mergeCell ref="AY64:AY65"/>
    <mergeCell ref="AZ64:AZ65"/>
    <mergeCell ref="BA64:BA65"/>
    <mergeCell ref="BB64:BB65"/>
    <mergeCell ref="AQ64:AQ65"/>
    <mergeCell ref="AR64:AR65"/>
    <mergeCell ref="AS64:AS65"/>
    <mergeCell ref="AT64:AT65"/>
    <mergeCell ref="AU64:AU65"/>
    <mergeCell ref="AV64:AV65"/>
    <mergeCell ref="AI64:AI65"/>
    <mergeCell ref="AJ64:AJ65"/>
    <mergeCell ref="A67:A68"/>
    <mergeCell ref="B67:K68"/>
    <mergeCell ref="L67:L68"/>
    <mergeCell ref="AR66:AR67"/>
    <mergeCell ref="AS66:AS67"/>
    <mergeCell ref="AT66:AT67"/>
    <mergeCell ref="AU66:AU67"/>
    <mergeCell ref="AV66:AV67"/>
    <mergeCell ref="AW66:AW67"/>
    <mergeCell ref="AJ66:AJ67"/>
    <mergeCell ref="AK66:AK67"/>
    <mergeCell ref="AL66:AL67"/>
    <mergeCell ref="AM66:AM67"/>
    <mergeCell ref="AN66:AN67"/>
    <mergeCell ref="AQ66:AQ67"/>
    <mergeCell ref="AC75:AC76"/>
    <mergeCell ref="AD75:AM76"/>
    <mergeCell ref="E69:E70"/>
    <mergeCell ref="F69:F70"/>
    <mergeCell ref="AX66:AX67"/>
    <mergeCell ref="AY66:AY67"/>
    <mergeCell ref="AZ66:AZ67"/>
    <mergeCell ref="BA66:BA67"/>
    <mergeCell ref="BB66:BB67"/>
    <mergeCell ref="Z70:Z71"/>
    <mergeCell ref="AQ70:AQ71"/>
    <mergeCell ref="O70:O71"/>
    <mergeCell ref="P70:Y71"/>
    <mergeCell ref="I71:I72"/>
    <mergeCell ref="J71:J72"/>
    <mergeCell ref="K71:K72"/>
    <mergeCell ref="L71:L72"/>
    <mergeCell ref="X74:X75"/>
    <mergeCell ref="Y74:Y75"/>
    <mergeCell ref="Z74:Z75"/>
    <mergeCell ref="A69:A70"/>
    <mergeCell ref="B69:B70"/>
    <mergeCell ref="C69:C70"/>
    <mergeCell ref="D69:D70"/>
    <mergeCell ref="W74:W75"/>
    <mergeCell ref="AR70:BA71"/>
    <mergeCell ref="BB70:BB71"/>
    <mergeCell ref="G69:G70"/>
    <mergeCell ref="H69:H70"/>
    <mergeCell ref="I69:I70"/>
    <mergeCell ref="J69:J70"/>
    <mergeCell ref="K69:K70"/>
    <mergeCell ref="L69:L70"/>
    <mergeCell ref="V74:V75"/>
    <mergeCell ref="AN75:AN76"/>
    <mergeCell ref="O76:O77"/>
    <mergeCell ref="P76:P77"/>
    <mergeCell ref="Q76:Q77"/>
    <mergeCell ref="R76:R77"/>
    <mergeCell ref="S76:S77"/>
    <mergeCell ref="T76:T77"/>
    <mergeCell ref="U76:U77"/>
    <mergeCell ref="G71:G72"/>
    <mergeCell ref="H71:H72"/>
    <mergeCell ref="A71:A72"/>
    <mergeCell ref="B71:B72"/>
    <mergeCell ref="C71:C72"/>
    <mergeCell ref="D71:D72"/>
    <mergeCell ref="E71:E72"/>
    <mergeCell ref="F71:F72"/>
    <mergeCell ref="X76:X77"/>
    <mergeCell ref="Y76:Y77"/>
    <mergeCell ref="Z76:Z77"/>
    <mergeCell ref="Q74:Q75"/>
    <mergeCell ref="R74:R75"/>
    <mergeCell ref="S74:S75"/>
    <mergeCell ref="T74:T75"/>
    <mergeCell ref="U74:U75"/>
    <mergeCell ref="A77:A78"/>
    <mergeCell ref="B77:K78"/>
    <mergeCell ref="L77:L78"/>
    <mergeCell ref="A73:A74"/>
    <mergeCell ref="B73:K74"/>
    <mergeCell ref="L73:L74"/>
    <mergeCell ref="O74:O75"/>
    <mergeCell ref="P74:P75"/>
    <mergeCell ref="V76:V77"/>
    <mergeCell ref="W76:W77"/>
    <mergeCell ref="AO77:AP78"/>
    <mergeCell ref="A79:A80"/>
    <mergeCell ref="B79:B80"/>
    <mergeCell ref="C79:C80"/>
    <mergeCell ref="D79:D80"/>
    <mergeCell ref="E79:E80"/>
    <mergeCell ref="L79:L80"/>
    <mergeCell ref="AO79:AP80"/>
    <mergeCell ref="O80:O81"/>
    <mergeCell ref="P80:Y81"/>
    <mergeCell ref="Z80:Z81"/>
    <mergeCell ref="A81:A82"/>
    <mergeCell ref="B81:B82"/>
    <mergeCell ref="C81:C82"/>
    <mergeCell ref="D81:D82"/>
    <mergeCell ref="E81:E82"/>
    <mergeCell ref="F79:F80"/>
    <mergeCell ref="G79:G80"/>
    <mergeCell ref="H79:H80"/>
    <mergeCell ref="I79:I80"/>
    <mergeCell ref="J79:J80"/>
    <mergeCell ref="K79:K80"/>
    <mergeCell ref="L81:L82"/>
    <mergeCell ref="AO81:AP82"/>
    <mergeCell ref="A83:A84"/>
    <mergeCell ref="B83:K84"/>
    <mergeCell ref="L83:L84"/>
    <mergeCell ref="AO83:AP84"/>
    <mergeCell ref="F81:F82"/>
    <mergeCell ref="G81:G82"/>
    <mergeCell ref="H81:H82"/>
    <mergeCell ref="I81:I82"/>
    <mergeCell ref="J81:J82"/>
    <mergeCell ref="K81:K82"/>
  </mergeCells>
  <conditionalFormatting sqref="P10:T11 P30:T31 P50:T51 P70:T71 AR60:AV61">
    <cfRule type="expression" dxfId="442" priority="91">
      <formula>AND(O10=AC15,AC15&lt;&gt;" ")</formula>
    </cfRule>
  </conditionalFormatting>
  <conditionalFormatting sqref="Z10:Z11 Z30:Z31 Z50:Z51 Z70:Z71 BB60:BB61">
    <cfRule type="expression" dxfId="441" priority="90">
      <formula>AND(O10=AC15,AC15&lt;&gt;" ")</formula>
    </cfRule>
  </conditionalFormatting>
  <conditionalFormatting sqref="P20:Y21 P40:Y41 P60:Y61 P80:Y81 AR70:AZ71">
    <cfRule type="expression" dxfId="440" priority="89">
      <formula>AND(O20=AC15,AC15&lt;&gt;" ")</formula>
    </cfRule>
  </conditionalFormatting>
  <conditionalFormatting sqref="Z20:Z21 Z40:Z41 Z60:Z61 Z80:Z81">
    <cfRule type="expression" dxfId="439" priority="88">
      <formula>AND(O20=AC15,AC15&lt;&gt;" ")</formula>
    </cfRule>
  </conditionalFormatting>
  <conditionalFormatting sqref="AR20:AV21">
    <cfRule type="expression" dxfId="438" priority="87">
      <formula>AND(AQ20=BE25,BE25&lt;&gt;" ")</formula>
    </cfRule>
  </conditionalFormatting>
  <conditionalFormatting sqref="BB20:BB21">
    <cfRule type="expression" dxfId="437" priority="86">
      <formula>AND(AQ20=BE25,BE25&lt;&gt;" ")</formula>
    </cfRule>
  </conditionalFormatting>
  <conditionalFormatting sqref="AR30:BA31">
    <cfRule type="expression" dxfId="436" priority="85">
      <formula>AND(AQ30=BE25,BE25&lt;&gt;" ")</formula>
    </cfRule>
  </conditionalFormatting>
  <conditionalFormatting sqref="BB30:BB31">
    <cfRule type="expression" dxfId="435" priority="84">
      <formula>AND(AQ30=BE25,BE25&lt;&gt;" ")</formula>
    </cfRule>
  </conditionalFormatting>
  <conditionalFormatting sqref="AD55:AN56">
    <cfRule type="expression" dxfId="434" priority="83">
      <formula>AND($AC$55=$AQ$30,$AQ$30&lt;&gt;" ")</formula>
    </cfRule>
  </conditionalFormatting>
  <conditionalFormatting sqref="AN75:AN76">
    <cfRule type="expression" dxfId="433" priority="82">
      <formula>AND(AC75=$AQ$30,$AQ$30&lt;&gt;" ")</formula>
    </cfRule>
  </conditionalFormatting>
  <conditionalFormatting sqref="AD75:AM76">
    <cfRule type="expression" dxfId="432" priority="81">
      <formula>AND($AC$75=$AQ$30,$AQ$30&lt;&gt;" ")</formula>
    </cfRule>
  </conditionalFormatting>
  <conditionalFormatting sqref="AD15:AN16">
    <cfRule type="expression" dxfId="431" priority="80">
      <formula>AND($AC$15=$AQ$20,$AQ$20&lt;&gt;" ")</formula>
    </cfRule>
  </conditionalFormatting>
  <conditionalFormatting sqref="AD35:AN36">
    <cfRule type="expression" dxfId="430" priority="79">
      <formula>AND($AC$35=$AQ$20,$AQ$20&lt;&gt;" ")</formula>
    </cfRule>
  </conditionalFormatting>
  <conditionalFormatting sqref="BB70:BB71">
    <cfRule type="expression" dxfId="429" priority="75">
      <formula>AND(AQ70=BE65,BE65&lt;&gt;" ")</formula>
    </cfRule>
  </conditionalFormatting>
  <conditionalFormatting sqref="B7:F8 B17:F18 B27:F28 B37:F38 B47:F48 B57:F58 B67:F68 B77:F78">
    <cfRule type="expression" dxfId="428" priority="74">
      <formula>AND(A7=O10,O10&lt;&gt;" ")</formula>
    </cfRule>
  </conditionalFormatting>
  <conditionalFormatting sqref="L7:L8 L17:L18 L27:L28 L37:L38 L47:L48 L57:L58 L67:L68 L77:L78">
    <cfRule type="expression" dxfId="427" priority="73">
      <formula>AND(A7=O10,O10&lt;&gt;" ")</formula>
    </cfRule>
  </conditionalFormatting>
  <conditionalFormatting sqref="B13:K14 B23:K24 B33:K34 B43:K44 B53:K54 B63:K64 B73:K74 B83:K84">
    <cfRule type="expression" dxfId="426" priority="72">
      <formula>AND(A13=O10,O10&lt;&gt;" ")</formula>
    </cfRule>
  </conditionalFormatting>
  <conditionalFormatting sqref="L13:L14 L23:L24 L33:L34 L43:L44 L53:L54 L63:L64 L73:L74 L83:L84">
    <cfRule type="expression" dxfId="425" priority="71">
      <formula>AND(A13=O10,O10&lt;&gt;" ")</formula>
    </cfRule>
  </conditionalFormatting>
  <conditionalFormatting sqref="A9:A12 A19:A22 A29:A32 A39:A42 A49:A52 A59:A62 A69:A72 A79:A82">
    <cfRule type="expression" dxfId="424" priority="69">
      <formula>AND(MOD(A9,2)=0,A9&lt;&gt;"")</formula>
    </cfRule>
    <cfRule type="expression" dxfId="423" priority="70">
      <formula>AND(MOD(A9,2)=1,A9&lt;&gt;"")</formula>
    </cfRule>
  </conditionalFormatting>
  <conditionalFormatting sqref="A11:A12 A21:A22 A31:A32 A41:A42 A51:A52 A61:A62 A71:A72 A81:A82">
    <cfRule type="expression" dxfId="422" priority="67">
      <formula>AND(MOD(A11,2)=0,A11&lt;&gt;"")</formula>
    </cfRule>
    <cfRule type="expression" dxfId="421" priority="68">
      <formula>AND(MOD(A11,2)=1,A11&lt;&gt;"")</formula>
    </cfRule>
  </conditionalFormatting>
  <conditionalFormatting sqref="O14:O15">
    <cfRule type="expression" dxfId="420" priority="65">
      <formula>AND(MOD(O14,2)=0,O14&lt;&gt;"")</formula>
    </cfRule>
    <cfRule type="expression" dxfId="419" priority="66">
      <formula>AND(MOD(O14,2)=1,O14&lt;&gt;"")</formula>
    </cfRule>
  </conditionalFormatting>
  <conditionalFormatting sqref="O16:O17">
    <cfRule type="expression" dxfId="418" priority="63">
      <formula>AND(MOD(O16,2)=0,O16&lt;&gt;"")</formula>
    </cfRule>
    <cfRule type="expression" dxfId="417" priority="64">
      <formula>AND(MOD(O16,2)=1,O16&lt;&gt;"")</formula>
    </cfRule>
  </conditionalFormatting>
  <conditionalFormatting sqref="O34:O35 O54:O55 O74:O75">
    <cfRule type="expression" dxfId="416" priority="61">
      <formula>AND(MOD(O34,2)=0,O34&lt;&gt;"")</formula>
    </cfRule>
    <cfRule type="expression" dxfId="415" priority="62">
      <formula>AND(MOD(O34,2)=1,O34&lt;&gt;"")</formula>
    </cfRule>
  </conditionalFormatting>
  <conditionalFormatting sqref="O36:O37 O56:O57 O76:O77">
    <cfRule type="expression" dxfId="414" priority="59">
      <formula>AND(MOD(O36,2)=0,O36&lt;&gt;"")</formula>
    </cfRule>
    <cfRule type="expression" dxfId="413" priority="60">
      <formula>AND(MOD(O36,2)=1,O36&lt;&gt;"")</formula>
    </cfRule>
  </conditionalFormatting>
  <conditionalFormatting sqref="AC24:AC25">
    <cfRule type="expression" dxfId="412" priority="57">
      <formula>AND(MOD(AC24,2)=0,AC24&lt;&gt;"")</formula>
    </cfRule>
    <cfRule type="expression" dxfId="411" priority="58">
      <formula>AND(MOD(AC24,2)=1,AC24&lt;&gt;"")</formula>
    </cfRule>
  </conditionalFormatting>
  <conditionalFormatting sqref="AC26:AC27">
    <cfRule type="expression" dxfId="410" priority="55">
      <formula>AND(MOD(AC26,2)=0,AC26&lt;&gt;"")</formula>
    </cfRule>
    <cfRule type="expression" dxfId="409" priority="56">
      <formula>AND(MOD(AC26,2)=1,AC26&lt;&gt;"")</formula>
    </cfRule>
  </conditionalFormatting>
  <conditionalFormatting sqref="AC64:AC65">
    <cfRule type="expression" dxfId="408" priority="53">
      <formula>AND(MOD(AC64,2)=0,AC64&lt;&gt;"")</formula>
    </cfRule>
    <cfRule type="expression" dxfId="407" priority="54">
      <formula>AND(MOD(AC64,2)=1,AC64&lt;&gt;"")</formula>
    </cfRule>
  </conditionalFormatting>
  <conditionalFormatting sqref="AC66:AC67">
    <cfRule type="expression" dxfId="406" priority="51">
      <formula>AND(MOD(AC66,2)=0,AC66&lt;&gt;"")</formula>
    </cfRule>
    <cfRule type="expression" dxfId="405" priority="52">
      <formula>AND(MOD(AC66,2)=1,AC66&lt;&gt;"")</formula>
    </cfRule>
  </conditionalFormatting>
  <conditionalFormatting sqref="AQ24:AQ25">
    <cfRule type="expression" dxfId="404" priority="49">
      <formula>AND(MOD(AQ24,2)=0,AQ24&lt;&gt;"")</formula>
    </cfRule>
    <cfRule type="expression" dxfId="403" priority="50">
      <formula>AND(MOD(AQ24,2)=1,AQ24&lt;&gt;"")</formula>
    </cfRule>
  </conditionalFormatting>
  <conditionalFormatting sqref="AQ26:AQ27">
    <cfRule type="expression" dxfId="402" priority="47">
      <formula>AND(MOD(AQ26,2)=0,AQ26&lt;&gt;"")</formula>
    </cfRule>
    <cfRule type="expression" dxfId="401" priority="48">
      <formula>AND(MOD(AQ26,2)=1,AQ26&lt;&gt;"")</formula>
    </cfRule>
  </conditionalFormatting>
  <conditionalFormatting sqref="AQ64:AQ65">
    <cfRule type="expression" dxfId="400" priority="45">
      <formula>AND(MOD(AQ64,2)=0,AQ64&lt;&gt;"")</formula>
    </cfRule>
    <cfRule type="expression" dxfId="399" priority="46">
      <formula>AND(MOD(AQ64,2)=1,AQ64&lt;&gt;"")</formula>
    </cfRule>
  </conditionalFormatting>
  <conditionalFormatting sqref="AQ66:AQ67">
    <cfRule type="expression" dxfId="398" priority="43">
      <formula>AND(MOD(AQ66,2)=0,AQ66&lt;&gt;"")</formula>
    </cfRule>
    <cfRule type="expression" dxfId="397" priority="44">
      <formula>AND(MOD(AQ66,2)=1,AQ66&lt;&gt;"")</formula>
    </cfRule>
  </conditionalFormatting>
  <conditionalFormatting sqref="O14:O15">
    <cfRule type="expression" dxfId="396" priority="41">
      <formula>AND(MOD(O14,2)=0,O14&lt;&gt;"")</formula>
    </cfRule>
    <cfRule type="expression" dxfId="395" priority="42">
      <formula>AND(MOD(O14,2)=1,O14&lt;&gt;"")</formula>
    </cfRule>
  </conditionalFormatting>
  <conditionalFormatting sqref="O16:O17">
    <cfRule type="expression" dxfId="394" priority="39">
      <formula>AND(MOD(O16,2)=0,O16&lt;&gt;"")</formula>
    </cfRule>
    <cfRule type="expression" dxfId="393" priority="40">
      <formula>AND(MOD(O16,2)=1,O16&lt;&gt;"")</formula>
    </cfRule>
  </conditionalFormatting>
  <conditionalFormatting sqref="O16:O17">
    <cfRule type="expression" dxfId="392" priority="37">
      <formula>AND(MOD(O16,2)=0,O16&lt;&gt;"")</formula>
    </cfRule>
    <cfRule type="expression" dxfId="391" priority="38">
      <formula>AND(MOD(O16,2)=1,O16&lt;&gt;"")</formula>
    </cfRule>
  </conditionalFormatting>
  <conditionalFormatting sqref="O34:O35">
    <cfRule type="expression" dxfId="390" priority="35">
      <formula>AND(MOD(O34,2)=0,O34&lt;&gt;"")</formula>
    </cfRule>
    <cfRule type="expression" dxfId="389" priority="36">
      <formula>AND(MOD(O34,2)=1,O34&lt;&gt;"")</formula>
    </cfRule>
  </conditionalFormatting>
  <conditionalFormatting sqref="O36:O37">
    <cfRule type="expression" dxfId="388" priority="33">
      <formula>AND(MOD(O36,2)=0,O36&lt;&gt;"")</formula>
    </cfRule>
    <cfRule type="expression" dxfId="387" priority="34">
      <formula>AND(MOD(O36,2)=1,O36&lt;&gt;"")</formula>
    </cfRule>
  </conditionalFormatting>
  <conditionalFormatting sqref="O34:O35">
    <cfRule type="expression" dxfId="386" priority="31">
      <formula>AND(MOD(O34,2)=0,O34&lt;&gt;"")</formula>
    </cfRule>
    <cfRule type="expression" dxfId="385" priority="32">
      <formula>AND(MOD(O34,2)=1,O34&lt;&gt;"")</formula>
    </cfRule>
  </conditionalFormatting>
  <conditionalFormatting sqref="O36:O37">
    <cfRule type="expression" dxfId="384" priority="29">
      <formula>AND(MOD(O36,2)=0,O36&lt;&gt;"")</formula>
    </cfRule>
    <cfRule type="expression" dxfId="383" priority="30">
      <formula>AND(MOD(O36,2)=1,O36&lt;&gt;"")</formula>
    </cfRule>
  </conditionalFormatting>
  <conditionalFormatting sqref="O36:O37">
    <cfRule type="expression" dxfId="382" priority="27">
      <formula>AND(MOD(O36,2)=0,O36&lt;&gt;"")</formula>
    </cfRule>
    <cfRule type="expression" dxfId="381" priority="28">
      <formula>AND(MOD(O36,2)=1,O36&lt;&gt;"")</formula>
    </cfRule>
  </conditionalFormatting>
  <conditionalFormatting sqref="AC24:AC25">
    <cfRule type="expression" dxfId="380" priority="25">
      <formula>AND(MOD(AC24,2)=0,AC24&lt;&gt;"")</formula>
    </cfRule>
    <cfRule type="expression" dxfId="379" priority="26">
      <formula>AND(MOD(AC24,2)=1,AC24&lt;&gt;"")</formula>
    </cfRule>
  </conditionalFormatting>
  <conditionalFormatting sqref="AC26:AC27">
    <cfRule type="expression" dxfId="378" priority="23">
      <formula>AND(MOD(AC26,2)=0,AC26&lt;&gt;"")</formula>
    </cfRule>
    <cfRule type="expression" dxfId="377" priority="24">
      <formula>AND(MOD(AC26,2)=1,AC26&lt;&gt;"")</formula>
    </cfRule>
  </conditionalFormatting>
  <conditionalFormatting sqref="AC26:AC27">
    <cfRule type="expression" dxfId="376" priority="21">
      <formula>AND(MOD(AC26,2)=0,AC26&lt;&gt;"")</formula>
    </cfRule>
    <cfRule type="expression" dxfId="375" priority="22">
      <formula>AND(MOD(AC26,2)=1,AC26&lt;&gt;"")</formula>
    </cfRule>
  </conditionalFormatting>
  <conditionalFormatting sqref="AQ24:AQ25">
    <cfRule type="expression" dxfId="374" priority="19">
      <formula>AND(MOD(AQ24,2)=0,AQ24&lt;&gt;"")</formula>
    </cfRule>
    <cfRule type="expression" dxfId="373" priority="20">
      <formula>AND(MOD(AQ24,2)=1,AQ24&lt;&gt;"")</formula>
    </cfRule>
  </conditionalFormatting>
  <conditionalFormatting sqref="AQ24:AQ25">
    <cfRule type="expression" dxfId="372" priority="17">
      <formula>AND(MOD(AQ24,2)=0,AQ24&lt;&gt;"")</formula>
    </cfRule>
    <cfRule type="expression" dxfId="371" priority="18">
      <formula>AND(MOD(AQ24,2)=1,AQ24&lt;&gt;"")</formula>
    </cfRule>
  </conditionalFormatting>
  <conditionalFormatting sqref="AQ26:AQ27">
    <cfRule type="expression" dxfId="370" priority="15">
      <formula>AND(MOD(AQ26,2)=0,AQ26&lt;&gt;"")</formula>
    </cfRule>
    <cfRule type="expression" dxfId="369" priority="16">
      <formula>AND(MOD(AQ26,2)=1,AQ26&lt;&gt;"")</formula>
    </cfRule>
  </conditionalFormatting>
  <conditionalFormatting sqref="AQ64:AQ65">
    <cfRule type="expression" dxfId="368" priority="13">
      <formula>AND(MOD(AQ64,2)=0,AQ64&lt;&gt;"")</formula>
    </cfRule>
    <cfRule type="expression" dxfId="367" priority="14">
      <formula>AND(MOD(AQ64,2)=1,AQ64&lt;&gt;"")</formula>
    </cfRule>
  </conditionalFormatting>
  <conditionalFormatting sqref="AQ66:AQ67">
    <cfRule type="expression" dxfId="366" priority="11">
      <formula>AND(MOD(AQ66,2)=0,AQ66&lt;&gt;"")</formula>
    </cfRule>
    <cfRule type="expression" dxfId="365" priority="12">
      <formula>AND(MOD(AQ66,2)=1,AQ66&lt;&gt;"")</formula>
    </cfRule>
  </conditionalFormatting>
  <conditionalFormatting sqref="AQ64:AQ65">
    <cfRule type="expression" dxfId="364" priority="9">
      <formula>AND(MOD(AQ64,2)=0,AQ64&lt;&gt;"")</formula>
    </cfRule>
    <cfRule type="expression" dxfId="363" priority="10">
      <formula>AND(MOD(AQ64,2)=1,AQ64&lt;&gt;"")</formula>
    </cfRule>
  </conditionalFormatting>
  <conditionalFormatting sqref="AQ64:AQ65">
    <cfRule type="expression" dxfId="362" priority="7">
      <formula>AND(MOD(AQ64,2)=0,AQ64&lt;&gt;"")</formula>
    </cfRule>
    <cfRule type="expression" dxfId="361" priority="8">
      <formula>AND(MOD(AQ64,2)=1,AQ64&lt;&gt;"")</formula>
    </cfRule>
  </conditionalFormatting>
  <conditionalFormatting sqref="AQ66:AQ67">
    <cfRule type="expression" dxfId="360" priority="5">
      <formula>AND(MOD(AQ66,2)=0,AQ66&lt;&gt;"")</formula>
    </cfRule>
    <cfRule type="expression" dxfId="359" priority="6">
      <formula>AND(MOD(AQ66,2)=1,AQ66&lt;&gt;"")</formula>
    </cfRule>
  </conditionalFormatting>
  <conditionalFormatting sqref="BM77:BM88 A53:BD64 A90:XFD1048576 A68:BL89 BM89:XFD89 BS68:XFD72 A1:XFD49 A66:XFD67 BL53:BM64 A65:BM65 A50:BM52 BQ50:XFD65 BP73:BR73 BT73:XFD88 BO77:BO88 BP74:BP88 BQ74:BR76">
    <cfRule type="expression" dxfId="358" priority="4">
      <formula>OR($BE$50&lt;=$BE$52)</formula>
    </cfRule>
  </conditionalFormatting>
  <conditionalFormatting sqref="BA70:BA71">
    <cfRule type="expression" dxfId="357" priority="116">
      <formula>AND(AZ70=#REF!,#REF!&lt;&gt;" ")</formula>
    </cfRule>
  </conditionalFormatting>
  <conditionalFormatting sqref="BN50:BP65">
    <cfRule type="expression" dxfId="356" priority="2">
      <formula>OR($BE$50&lt;=$BE$52)</formula>
    </cfRule>
  </conditionalFormatting>
  <conditionalFormatting sqref="BQ77:BQ80">
    <cfRule type="expression" dxfId="355" priority="1">
      <formula>OR($BE$50&lt;=$BE$52)</formula>
    </cfRule>
  </conditionalFormatting>
  <dataValidations count="1">
    <dataValidation type="whole" allowBlank="1" showInputMessage="1" showErrorMessage="1" sqref="B9:F12 B59:F62 B69:F72 P14:T17 AD24:AH27 AD64:AH67 AR24:AV27 AR64:AV67 B79:F82 B19:F22 B29:F32 B39:F42 B49:F52 P34:T37 P54:T57 P74:T77">
      <formula1>0</formula1>
      <formula2>30</formula2>
    </dataValidation>
  </dataValidations>
  <printOptions horizontalCentered="1" verticalCentered="1"/>
  <pageMargins left="0.39370078740157483" right="0.39370078740157483" top="0.59055118110236227" bottom="0.59055118110236227" header="0" footer="0"/>
  <pageSetup paperSize="9" scale="6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T163"/>
  <sheetViews>
    <sheetView showGridLines="0" showRowColHeaders="0" topLeftCell="B1" zoomScaleSheetLayoutView="85" workbookViewId="0">
      <selection activeCell="B29" sqref="B29:B30"/>
    </sheetView>
  </sheetViews>
  <sheetFormatPr defaultColWidth="7.5703125" defaultRowHeight="6.75" customHeight="1" x14ac:dyDescent="0.2"/>
  <cols>
    <col min="1" max="1" width="5.7109375" style="7" customWidth="1"/>
    <col min="2" max="6" width="5.28515625" style="4" customWidth="1"/>
    <col min="7" max="11" width="3.7109375" style="4" hidden="1" customWidth="1"/>
    <col min="12" max="12" width="5.7109375" style="3" customWidth="1"/>
    <col min="13" max="14" width="4.28515625" style="7" customWidth="1"/>
    <col min="15" max="15" width="5.7109375" style="3" customWidth="1"/>
    <col min="16" max="20" width="5.28515625" style="7" customWidth="1"/>
    <col min="21" max="25" width="3.7109375" style="7" hidden="1" customWidth="1"/>
    <col min="26" max="26" width="5.7109375" style="7" customWidth="1"/>
    <col min="27" max="28" width="4.28515625" style="7" customWidth="1"/>
    <col min="29" max="29" width="5.7109375" style="7" customWidth="1"/>
    <col min="30" max="34" width="5.28515625" style="7" customWidth="1"/>
    <col min="35" max="39" width="3.7109375" style="7" hidden="1" customWidth="1"/>
    <col min="40" max="40" width="5.7109375" style="7" customWidth="1"/>
    <col min="41" max="42" width="2.85546875" style="7" customWidth="1"/>
    <col min="43" max="43" width="5.7109375" style="7" customWidth="1"/>
    <col min="44" max="48" width="5.28515625" style="7" customWidth="1"/>
    <col min="49" max="53" width="0" style="7" hidden="1" customWidth="1"/>
    <col min="54" max="54" width="5.7109375" style="7" customWidth="1"/>
    <col min="55" max="56" width="2.85546875" style="7" customWidth="1"/>
    <col min="57" max="57" width="5.7109375" style="7" customWidth="1"/>
    <col min="58" max="62" width="5.28515625" style="7" customWidth="1"/>
    <col min="63" max="63" width="5.7109375" style="7" customWidth="1"/>
    <col min="64" max="64" width="7.5703125" style="7"/>
    <col min="65" max="72" width="7.5703125" style="7" hidden="1" customWidth="1"/>
    <col min="73" max="16384" width="7.5703125" style="7"/>
  </cols>
  <sheetData>
    <row r="1" spans="1:63" s="6" customFormat="1" ht="15" customHeight="1" x14ac:dyDescent="0.25">
      <c r="A1" s="253" t="str">
        <f>'Start List'!A1</f>
        <v>22. BOHEMIA CUP - CROSSBOW FIELD</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row>
    <row r="2" spans="1:63" s="21" customFormat="1" ht="15" customHeight="1" x14ac:dyDescent="0.25">
      <c r="A2" s="253" t="str">
        <f>'Start List'!A2</f>
        <v>Nový Stadion, TJ Jiskra, Otrokovice</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row>
    <row r="3" spans="1:63" s="21" customFormat="1" ht="15" customHeight="1" x14ac:dyDescent="0.25">
      <c r="A3" s="253" t="str">
        <f>'Start List'!A3</f>
        <v>14.-16. August 2020</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row>
    <row r="4" spans="1:63" s="21" customFormat="1" ht="15" customHeight="1" x14ac:dyDescent="0.25">
      <c r="A4" s="253" t="str">
        <f>"Match Play - "&amp;SUBSTITUTE(A5,"  ","")</f>
        <v>Match Play - Juniors</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row>
    <row r="5" spans="1:63" s="21" customFormat="1" ht="15" hidden="1" customHeight="1" x14ac:dyDescent="0.25">
      <c r="A5" s="253" t="str">
        <f>VLOOKUP(Data!$AJ$4,Data!$AJ$2:$AK$7,2,FALSE)</f>
        <v>Juniors</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row>
    <row r="6" spans="1:63" s="6" customFormat="1" ht="6.75" customHeight="1" thickBo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8"/>
      <c r="AI6" s="29"/>
    </row>
    <row r="7" spans="1:63" s="1" customFormat="1" ht="6.75" customHeight="1" x14ac:dyDescent="0.2">
      <c r="A7" s="254">
        <v>1</v>
      </c>
      <c r="B7" s="255" t="str">
        <f ca="1">IF(A7=" "," ",IFERROR(VLOOKUP(LARGE(INDIRECT(VLOOKUP($A$5,'Start List'!$J$9:$Q$14,5,FALSE)),A7),'Start List'!$B$15:$V$139,3,FALSE),"bye to the next round"))</f>
        <v>Oborovečki Martin</v>
      </c>
      <c r="C7" s="256"/>
      <c r="D7" s="256"/>
      <c r="E7" s="256"/>
      <c r="F7" s="256"/>
      <c r="G7" s="256"/>
      <c r="H7" s="256"/>
      <c r="I7" s="256"/>
      <c r="J7" s="256"/>
      <c r="K7" s="257"/>
      <c r="L7" s="261" t="str">
        <f ca="1">IFERROR(VLOOKUP(LARGE(INDIRECT(VLOOKUP($A$5,'Start List'!$J$9:$Q$14,5,FALSE)),Juniors!A7),'Start List'!$B$15:$V$139,7,FALSE)," ")</f>
        <v xml:space="preserve"> </v>
      </c>
      <c r="M7" s="2"/>
      <c r="N7" s="5"/>
      <c r="O7" s="11"/>
    </row>
    <row r="8" spans="1:63" ht="6.75" customHeight="1" thickBot="1" x14ac:dyDescent="0.25">
      <c r="A8" s="254"/>
      <c r="B8" s="258"/>
      <c r="C8" s="259"/>
      <c r="D8" s="259"/>
      <c r="E8" s="259"/>
      <c r="F8" s="259"/>
      <c r="G8" s="259"/>
      <c r="H8" s="259"/>
      <c r="I8" s="259"/>
      <c r="J8" s="259"/>
      <c r="K8" s="260"/>
      <c r="L8" s="262"/>
      <c r="M8" s="14"/>
    </row>
    <row r="9" spans="1:63" ht="6.75" customHeight="1" thickBot="1" x14ac:dyDescent="0.25">
      <c r="A9" s="263" t="str">
        <f>VLOOKUP(VLOOKUP($A$5,'Start List'!$J$9:$Q$14,8,FALSE)&amp;A7,Data!$D$2:$H$97,2,FALSE)</f>
        <v/>
      </c>
      <c r="B9" s="274"/>
      <c r="C9" s="271"/>
      <c r="D9" s="271"/>
      <c r="E9" s="271"/>
      <c r="F9" s="271"/>
      <c r="G9" s="268">
        <f>IF(B9&gt;B11,2,IF(AND(B11=B9,B9&gt;0),1,0))</f>
        <v>0</v>
      </c>
      <c r="H9" s="268">
        <f>IF(C9&gt;C11,2,IF(AND(C11=C9,C9&gt;0),1,0))</f>
        <v>0</v>
      </c>
      <c r="I9" s="268">
        <f>IF(D9&gt;D11,2,IF(AND(D11=D9,D9&gt;0),1,0))</f>
        <v>0</v>
      </c>
      <c r="J9" s="268">
        <f>IF(E9&gt;E11,2,IF(AND(E11=E9,E9&gt;0),1,0))</f>
        <v>0</v>
      </c>
      <c r="K9" s="268">
        <f>IF(F9&gt;F11,2,IF(AND(F11=F9,F9&gt;0),1,0))</f>
        <v>0</v>
      </c>
      <c r="L9" s="272">
        <f>SUM(G9:K10)</f>
        <v>0</v>
      </c>
      <c r="M9" s="9"/>
    </row>
    <row r="10" spans="1:63" ht="6.75" customHeight="1" x14ac:dyDescent="0.2">
      <c r="A10" s="263"/>
      <c r="B10" s="264"/>
      <c r="C10" s="266"/>
      <c r="D10" s="266"/>
      <c r="E10" s="266"/>
      <c r="F10" s="266"/>
      <c r="G10" s="269"/>
      <c r="H10" s="269"/>
      <c r="I10" s="269"/>
      <c r="J10" s="269"/>
      <c r="K10" s="269"/>
      <c r="L10" s="273"/>
      <c r="M10" s="15"/>
      <c r="O10" s="254">
        <f ca="1">IF(B13="bye to the next round",A7,IF(AND(L9&gt;L11,L9&gt;4),A7,IF(AND(L11&gt;L9,L11&gt;4),A13,IF(AND(L9=5,L11=5),MIN(A7,A13)," "))))</f>
        <v>1</v>
      </c>
      <c r="P10" s="255" t="str">
        <f ca="1">IF(O10=" "," ",IFERROR(VLOOKUP(LARGE(INDIRECT(VLOOKUP($A$5,'Start List'!$J$9:$Q$14,5,FALSE)),O10),'Start List'!$B$15:$V$139,3,FALSE),"bye to the next round"))</f>
        <v>Oborovečki Martin</v>
      </c>
      <c r="Q10" s="256"/>
      <c r="R10" s="256"/>
      <c r="S10" s="256"/>
      <c r="T10" s="256"/>
      <c r="U10" s="256"/>
      <c r="V10" s="256"/>
      <c r="W10" s="256"/>
      <c r="X10" s="256"/>
      <c r="Y10" s="257"/>
      <c r="Z10" s="261" t="str">
        <f ca="1">IFERROR(VLOOKUP(LARGE(INDIRECT(VLOOKUP($A$5,'Start List'!$J$9:$Q$14,5,FALSE)),Juniors!O10),'Start List'!$B$15:$V$139,7,FALSE)," ")</f>
        <v xml:space="preserve"> </v>
      </c>
      <c r="AA10" s="16"/>
    </row>
    <row r="11" spans="1:63" ht="6.75" customHeight="1" thickBot="1" x14ac:dyDescent="0.25">
      <c r="A11" s="263" t="str">
        <f>VLOOKUP(VLOOKUP($A$5,'Start List'!$J$9:$Q$14,8,FALSE)&amp;A13,Data!$D$2:$H$97,2,FALSE)</f>
        <v/>
      </c>
      <c r="B11" s="264"/>
      <c r="C11" s="266"/>
      <c r="D11" s="266"/>
      <c r="E11" s="266"/>
      <c r="F11" s="266"/>
      <c r="G11" s="268">
        <f>IF(B9&lt;B11,2,IF(AND(B11=B9,B11&gt;0),1,0))</f>
        <v>0</v>
      </c>
      <c r="H11" s="268">
        <f>IF(C9&lt;C11,2,IF(AND(C11=C9,C11&gt;0),1,0))</f>
        <v>0</v>
      </c>
      <c r="I11" s="268">
        <f>IF(D9&lt;D11,2,IF(AND(D11=D9,D11&gt;0),1,0))</f>
        <v>0</v>
      </c>
      <c r="J11" s="268">
        <f>IF(E9&lt;E11,2,IF(AND(E11=E9,E11&gt;0),1,0))</f>
        <v>0</v>
      </c>
      <c r="K11" s="268">
        <f>IF(F9&lt;F11,2,IF(AND(F11=F9,F11&gt;0),1,0))</f>
        <v>0</v>
      </c>
      <c r="L11" s="272">
        <f>SUM(G11:K12)</f>
        <v>0</v>
      </c>
      <c r="M11" s="15"/>
      <c r="N11" s="10"/>
      <c r="O11" s="254"/>
      <c r="P11" s="258"/>
      <c r="Q11" s="259"/>
      <c r="R11" s="259"/>
      <c r="S11" s="259"/>
      <c r="T11" s="259"/>
      <c r="U11" s="259"/>
      <c r="V11" s="259"/>
      <c r="W11" s="259"/>
      <c r="X11" s="259"/>
      <c r="Y11" s="260"/>
      <c r="Z11" s="262"/>
      <c r="AA11" s="12"/>
    </row>
    <row r="12" spans="1:63" ht="6.75" customHeight="1" thickBot="1" x14ac:dyDescent="0.25">
      <c r="A12" s="263"/>
      <c r="B12" s="265"/>
      <c r="C12" s="267"/>
      <c r="D12" s="267"/>
      <c r="E12" s="267"/>
      <c r="F12" s="267"/>
      <c r="G12" s="269"/>
      <c r="H12" s="269"/>
      <c r="I12" s="269"/>
      <c r="J12" s="269"/>
      <c r="K12" s="269"/>
      <c r="L12" s="273"/>
      <c r="M12" s="15"/>
      <c r="O12" s="7"/>
      <c r="AA12" s="9"/>
    </row>
    <row r="13" spans="1:63" ht="6.75" customHeight="1" x14ac:dyDescent="0.2">
      <c r="A13" s="254">
        <v>16</v>
      </c>
      <c r="B13" s="255" t="str">
        <f ca="1">IF(A13=" "," ",IFERROR(VLOOKUP(LARGE(INDIRECT(VLOOKUP($A$5,'Start List'!$J$9:$Q$14,5,FALSE)),A13),'Start List'!$B$15:$V$139,3,FALSE),"bye to the next round"))</f>
        <v>bye to the next round</v>
      </c>
      <c r="C13" s="256"/>
      <c r="D13" s="256"/>
      <c r="E13" s="256"/>
      <c r="F13" s="256"/>
      <c r="G13" s="256"/>
      <c r="H13" s="256"/>
      <c r="I13" s="256"/>
      <c r="J13" s="256"/>
      <c r="K13" s="257"/>
      <c r="L13" s="261" t="str">
        <f ca="1">IFERROR(VLOOKUP(LARGE(INDIRECT(VLOOKUP($A$5,'Start List'!$J$9:$Q$14,5,FALSE)),Juniors!A13),'Start List'!$B$15:$V$139,7,FALSE)," ")</f>
        <v xml:space="preserve"> </v>
      </c>
      <c r="M13" s="8"/>
      <c r="O13" s="7"/>
      <c r="AA13" s="9"/>
    </row>
    <row r="14" spans="1:63" ht="6.75" customHeight="1" thickBot="1" x14ac:dyDescent="0.25">
      <c r="A14" s="254"/>
      <c r="B14" s="258"/>
      <c r="C14" s="259"/>
      <c r="D14" s="259"/>
      <c r="E14" s="259"/>
      <c r="F14" s="259"/>
      <c r="G14" s="259"/>
      <c r="H14" s="259"/>
      <c r="I14" s="259"/>
      <c r="J14" s="259"/>
      <c r="K14" s="260"/>
      <c r="L14" s="262"/>
      <c r="M14" s="13"/>
      <c r="O14" s="263" t="str">
        <f>VLOOKUP(VLOOKUP($A$5,'Start List'!$J$9:$Q$14,8,FALSE)&amp;A7,Data!$D$2:$H$97,3,FALSE)</f>
        <v/>
      </c>
      <c r="P14" s="264"/>
      <c r="Q14" s="266"/>
      <c r="R14" s="266"/>
      <c r="S14" s="266"/>
      <c r="T14" s="266"/>
      <c r="U14" s="269">
        <f>IF(P14&gt;P16,2,IF(AND(P16=P14,P14&gt;0),1,0))</f>
        <v>0</v>
      </c>
      <c r="V14" s="269">
        <f>IF(Q14&gt;Q16,2,IF(AND(Q16=Q14,Q14&gt;0),1,0))</f>
        <v>0</v>
      </c>
      <c r="W14" s="269">
        <f>IF(R14&gt;R16,2,IF(AND(R16=R14,R14&gt;0),1,0))</f>
        <v>0</v>
      </c>
      <c r="X14" s="269">
        <f>IF(S14&gt;S16,2,IF(AND(S16=S14,S14&gt;0),1,0))</f>
        <v>0</v>
      </c>
      <c r="Y14" s="269">
        <f>IF(T14&gt;T16,2,IF(AND(T16=T14,T14&gt;0),1,0))</f>
        <v>0</v>
      </c>
      <c r="Z14" s="277">
        <f>SUM(U14:Y15)</f>
        <v>0</v>
      </c>
      <c r="AA14" s="9"/>
    </row>
    <row r="15" spans="1:63" ht="6.75" customHeight="1" x14ac:dyDescent="0.2">
      <c r="A15" s="30"/>
      <c r="O15" s="263"/>
      <c r="P15" s="264"/>
      <c r="Q15" s="266"/>
      <c r="R15" s="266"/>
      <c r="S15" s="266"/>
      <c r="T15" s="266"/>
      <c r="U15" s="269"/>
      <c r="V15" s="269"/>
      <c r="W15" s="269"/>
      <c r="X15" s="269"/>
      <c r="Y15" s="269"/>
      <c r="Z15" s="277"/>
      <c r="AA15" s="9"/>
      <c r="AC15" s="254">
        <f ca="1">IF(P20="bye to the next round",O10,IF(AND(Z14&gt;Z16,Z14&gt;4),O10,IF(AND(Z16&gt;Z14,Z16&gt;4),O20,IF(AND(Z14=5,Z16=5),MIN(O10,O20)," "))))</f>
        <v>1</v>
      </c>
      <c r="AD15" s="255" t="str">
        <f ca="1">IF(AC15=" "," ",IFERROR(VLOOKUP(LARGE(INDIRECT(VLOOKUP($A$5,'Start List'!$J$9:$Q$14,5,FALSE)),AC15),'Start List'!$B$15:$V$139,3,FALSE),"bye to the next round"))</f>
        <v>Oborovečki Martin</v>
      </c>
      <c r="AE15" s="256"/>
      <c r="AF15" s="256"/>
      <c r="AG15" s="256"/>
      <c r="AH15" s="256"/>
      <c r="AI15" s="256"/>
      <c r="AJ15" s="256"/>
      <c r="AK15" s="256"/>
      <c r="AL15" s="256"/>
      <c r="AM15" s="257"/>
      <c r="AN15" s="275" t="str">
        <f ca="1">IFERROR(VLOOKUP(LARGE(INDIRECT(VLOOKUP($A$5,'Start List'!$J$9:$Q$14,5,FALSE)),Juniors!AC15),'Start List'!$B$15:$V$139,7,FALSE)," ")</f>
        <v xml:space="preserve"> </v>
      </c>
    </row>
    <row r="16" spans="1:63" ht="6.75" customHeight="1" thickBot="1" x14ac:dyDescent="0.25">
      <c r="A16" s="29"/>
      <c r="B16" s="29"/>
      <c r="C16" s="29"/>
      <c r="D16" s="29"/>
      <c r="E16" s="29"/>
      <c r="F16" s="29"/>
      <c r="G16" s="29"/>
      <c r="H16" s="29"/>
      <c r="I16" s="29"/>
      <c r="J16" s="29"/>
      <c r="K16" s="29"/>
      <c r="L16" s="29"/>
      <c r="M16" s="29"/>
      <c r="N16" s="29"/>
      <c r="O16" s="263" t="str">
        <f>VLOOKUP(VLOOKUP($A$5,'Start List'!$J$9:$Q$14,8,FALSE)&amp;A23,Data!$D$2:$H$97,3,FALSE)</f>
        <v/>
      </c>
      <c r="P16" s="264"/>
      <c r="Q16" s="266"/>
      <c r="R16" s="266"/>
      <c r="S16" s="266"/>
      <c r="T16" s="266"/>
      <c r="U16" s="269">
        <f>IF(P14&lt;P16,2,IF(AND(P16=P14,P16&gt;0),1,0))</f>
        <v>0</v>
      </c>
      <c r="V16" s="269">
        <f>IF(Q14&lt;Q16,2,IF(AND(Q16=Q14,Q16&gt;0),1,0))</f>
        <v>0</v>
      </c>
      <c r="W16" s="269">
        <f>IF(R14&lt;R16,2,IF(AND(R16=R14,R16&gt;0),1,0))</f>
        <v>0</v>
      </c>
      <c r="X16" s="269">
        <f>IF(S14&lt;S16,2,IF(AND(S16=S14,S16&gt;0),1,0))</f>
        <v>0</v>
      </c>
      <c r="Y16" s="269">
        <f>IF(T14&lt;T16,2,IF(AND(T16=T14,T16&gt;0),1,0))</f>
        <v>0</v>
      </c>
      <c r="Z16" s="277">
        <f>SUM(U16:Y17)</f>
        <v>0</v>
      </c>
      <c r="AA16" s="17"/>
      <c r="AB16" s="19"/>
      <c r="AC16" s="254"/>
      <c r="AD16" s="258"/>
      <c r="AE16" s="259"/>
      <c r="AF16" s="259"/>
      <c r="AG16" s="259"/>
      <c r="AH16" s="259"/>
      <c r="AI16" s="259"/>
      <c r="AJ16" s="259"/>
      <c r="AK16" s="259"/>
      <c r="AL16" s="259"/>
      <c r="AM16" s="260"/>
      <c r="AN16" s="276"/>
      <c r="AO16" s="14"/>
    </row>
    <row r="17" spans="1:63" ht="6.75" customHeight="1" x14ac:dyDescent="0.2">
      <c r="A17" s="254">
        <v>8</v>
      </c>
      <c r="B17" s="255" t="str">
        <f ca="1">IF(A17=" "," ",IFERROR(VLOOKUP(LARGE(INDIRECT(VLOOKUP($A$5,'Start List'!$J$9:$Q$14,5,FALSE)),A17),'Start List'!$B$15:$V$139,3,FALSE),"bye to the next round"))</f>
        <v>bye to the next round</v>
      </c>
      <c r="C17" s="256"/>
      <c r="D17" s="256"/>
      <c r="E17" s="256"/>
      <c r="F17" s="256"/>
      <c r="G17" s="256"/>
      <c r="H17" s="256"/>
      <c r="I17" s="256"/>
      <c r="J17" s="256"/>
      <c r="K17" s="257"/>
      <c r="L17" s="261" t="str">
        <f ca="1">IFERROR(VLOOKUP(LARGE(INDIRECT(VLOOKUP($A$5,'Start List'!$J$9:$Q$14,5,FALSE)),Juniors!A17),'Start List'!$B$15:$V$139,7,FALSE)," ")</f>
        <v xml:space="preserve"> </v>
      </c>
      <c r="M17" s="2"/>
      <c r="N17" s="5"/>
      <c r="O17" s="263"/>
      <c r="P17" s="264"/>
      <c r="Q17" s="266"/>
      <c r="R17" s="266"/>
      <c r="S17" s="266"/>
      <c r="T17" s="266"/>
      <c r="U17" s="269"/>
      <c r="V17" s="269"/>
      <c r="W17" s="269"/>
      <c r="X17" s="269"/>
      <c r="Y17" s="269"/>
      <c r="Z17" s="277"/>
      <c r="AA17" s="18"/>
      <c r="AB17" s="1"/>
      <c r="AO17" s="9"/>
      <c r="AQ17" s="278" t="str">
        <f>VLOOKUP("GMM",Translation!$A$1:$E$57,Data!$AP$2,FALSE)</f>
        <v>Gold Medal Match</v>
      </c>
      <c r="AR17" s="278"/>
      <c r="AS17" s="278"/>
      <c r="AT17" s="278"/>
      <c r="AU17" s="278"/>
      <c r="AV17" s="278"/>
      <c r="AW17" s="278"/>
      <c r="AX17" s="278"/>
      <c r="AY17" s="278"/>
      <c r="AZ17" s="278"/>
      <c r="BA17" s="278"/>
      <c r="BB17" s="278"/>
    </row>
    <row r="18" spans="1:63" ht="6.75" customHeight="1" thickBot="1" x14ac:dyDescent="0.25">
      <c r="A18" s="270"/>
      <c r="B18" s="258"/>
      <c r="C18" s="259"/>
      <c r="D18" s="259"/>
      <c r="E18" s="259"/>
      <c r="F18" s="259"/>
      <c r="G18" s="259"/>
      <c r="H18" s="259"/>
      <c r="I18" s="259"/>
      <c r="J18" s="259"/>
      <c r="K18" s="260"/>
      <c r="L18" s="262"/>
      <c r="M18" s="14"/>
      <c r="AA18" s="9"/>
      <c r="AO18" s="9"/>
      <c r="AQ18" s="278"/>
      <c r="AR18" s="278"/>
      <c r="AS18" s="278"/>
      <c r="AT18" s="278"/>
      <c r="AU18" s="278"/>
      <c r="AV18" s="278"/>
      <c r="AW18" s="278"/>
      <c r="AX18" s="278"/>
      <c r="AY18" s="278"/>
      <c r="AZ18" s="278"/>
      <c r="BA18" s="278"/>
      <c r="BB18" s="278"/>
    </row>
    <row r="19" spans="1:63" ht="6.75" customHeight="1" thickBot="1" x14ac:dyDescent="0.25">
      <c r="A19" s="263" t="str">
        <f>VLOOKUP(VLOOKUP($A$5,'Start List'!$J$9:$Q$14,8,FALSE)&amp;A17,Data!$D$2:$H$97,2,FALSE)</f>
        <v/>
      </c>
      <c r="B19" s="274"/>
      <c r="C19" s="271"/>
      <c r="D19" s="271"/>
      <c r="E19" s="271"/>
      <c r="F19" s="271"/>
      <c r="G19" s="268">
        <f>IF(B19&gt;B21,2,IF(AND(B21=B19,B19&gt;0),1,0))</f>
        <v>0</v>
      </c>
      <c r="H19" s="268">
        <f>IF(C19&gt;C21,2,IF(AND(C21=C19,C19&gt;0),1,0))</f>
        <v>0</v>
      </c>
      <c r="I19" s="268">
        <f>IF(D19&gt;D21,2,IF(AND(D21=D19,D19&gt;0),1,0))</f>
        <v>0</v>
      </c>
      <c r="J19" s="268">
        <f>IF(E19&gt;E21,2,IF(AND(E21=E19,E19&gt;0),1,0))</f>
        <v>0</v>
      </c>
      <c r="K19" s="268">
        <f>IF(F19&gt;F21,2,IF(AND(F21=F19,F19&gt;0),1,0))</f>
        <v>0</v>
      </c>
      <c r="L19" s="272">
        <f>SUM(G19:K20)</f>
        <v>0</v>
      </c>
      <c r="M19" s="9"/>
      <c r="AA19" s="9"/>
      <c r="AO19" s="9"/>
    </row>
    <row r="20" spans="1:63" ht="6.75" customHeight="1" x14ac:dyDescent="0.2">
      <c r="A20" s="263"/>
      <c r="B20" s="264"/>
      <c r="C20" s="266"/>
      <c r="D20" s="266"/>
      <c r="E20" s="266"/>
      <c r="F20" s="266"/>
      <c r="G20" s="269"/>
      <c r="H20" s="269"/>
      <c r="I20" s="269"/>
      <c r="J20" s="269"/>
      <c r="K20" s="269"/>
      <c r="L20" s="273"/>
      <c r="M20" s="15"/>
      <c r="O20" s="254">
        <f ca="1">IF(B23="bye to the next round",A17,IF(AND(L19&gt;L21,L19&gt;4),A17,IF(AND(L21&gt;L19,L21&gt;4),A23,IF(AND(L19=5,L21=5),MIN(A17,A23)," "))))</f>
        <v>8</v>
      </c>
      <c r="P20" s="255" t="str">
        <f ca="1">IF(O20=" "," ",IFERROR(VLOOKUP(LARGE(INDIRECT(VLOOKUP($A$5,'Start List'!$J$9:$Q$14,5,FALSE)),O20),'Start List'!$B$15:$V$139,3,FALSE),"bye to the next round"))</f>
        <v>bye to the next round</v>
      </c>
      <c r="Q20" s="256"/>
      <c r="R20" s="256"/>
      <c r="S20" s="256"/>
      <c r="T20" s="256"/>
      <c r="U20" s="256"/>
      <c r="V20" s="256"/>
      <c r="W20" s="256"/>
      <c r="X20" s="256"/>
      <c r="Y20" s="257"/>
      <c r="Z20" s="261" t="str">
        <f ca="1">IFERROR(VLOOKUP(LARGE(INDIRECT(VLOOKUP($A$5,'Start List'!$J$9:$Q$14,5,FALSE)),Juniors!O20),'Start List'!$B$15:$V$139,7,FALSE)," ")</f>
        <v xml:space="preserve"> </v>
      </c>
      <c r="AA20" s="8"/>
      <c r="AO20" s="9"/>
      <c r="AQ20" s="254" t="str">
        <f>IF(AND(AN24&gt;AN26,AN24&gt;4),AC15,IF(AND(AN26&gt;AN24,AN26&gt;4),AC35,IF(AND(AN24=5,AN26=5),MIN(AC15,AC35)," ")))</f>
        <v xml:space="preserve"> </v>
      </c>
      <c r="AR20" s="255" t="str">
        <f ca="1">IF(AQ20=" "," ",IFERROR(VLOOKUP(LARGE(INDIRECT(VLOOKUP($A$5,'Start List'!$J$9:$Q$14,5,FALSE)),AQ20),'Start List'!$B$15:$V$139,3,FALSE),"bye to the next round"))</f>
        <v xml:space="preserve"> </v>
      </c>
      <c r="AS20" s="256"/>
      <c r="AT20" s="256"/>
      <c r="AU20" s="256"/>
      <c r="AV20" s="256"/>
      <c r="AW20" s="256"/>
      <c r="AX20" s="256"/>
      <c r="AY20" s="256"/>
      <c r="AZ20" s="256"/>
      <c r="BA20" s="257"/>
      <c r="BB20" s="261" t="str">
        <f ca="1">IFERROR(VLOOKUP(LARGE(INDIRECT(VLOOKUP($A$5,'Start List'!$J$9:$Q$14,5,FALSE)),Juniors!AQ20),'Start List'!$B$15:$V$139,7,FALSE)," ")</f>
        <v xml:space="preserve"> </v>
      </c>
    </row>
    <row r="21" spans="1:63" ht="6.75" customHeight="1" thickBot="1" x14ac:dyDescent="0.25">
      <c r="A21" s="263" t="str">
        <f>VLOOKUP(VLOOKUP($A$5,'Start List'!$J$9:$Q$14,8,FALSE)&amp;A23,Data!$D$2:$H$97,2,FALSE)</f>
        <v/>
      </c>
      <c r="B21" s="264"/>
      <c r="C21" s="266"/>
      <c r="D21" s="266"/>
      <c r="E21" s="266"/>
      <c r="F21" s="266"/>
      <c r="G21" s="268">
        <f>IF(B19&lt;B21,2,IF(AND(B21=B19,B21&gt;0),1,0))</f>
        <v>0</v>
      </c>
      <c r="H21" s="268">
        <f>IF(C19&lt;C21,2,IF(AND(C21=C19,C21&gt;0),1,0))</f>
        <v>0</v>
      </c>
      <c r="I21" s="268">
        <f>IF(D19&lt;D21,2,IF(AND(D21=D19,D21&gt;0),1,0))</f>
        <v>0</v>
      </c>
      <c r="J21" s="268">
        <f>IF(E19&lt;E21,2,IF(AND(E21=E19,E21&gt;0),1,0))</f>
        <v>0</v>
      </c>
      <c r="K21" s="268">
        <f>IF(F19&lt;F21,2,IF(AND(F21=F19,F21&gt;0),1,0))</f>
        <v>0</v>
      </c>
      <c r="L21" s="272">
        <f>SUM(G21:K22)</f>
        <v>0</v>
      </c>
      <c r="M21" s="15"/>
      <c r="N21" s="10"/>
      <c r="O21" s="254"/>
      <c r="P21" s="258"/>
      <c r="Q21" s="259"/>
      <c r="R21" s="259"/>
      <c r="S21" s="259"/>
      <c r="T21" s="259"/>
      <c r="U21" s="259"/>
      <c r="V21" s="259"/>
      <c r="W21" s="259"/>
      <c r="X21" s="259"/>
      <c r="Y21" s="260"/>
      <c r="Z21" s="262"/>
      <c r="AA21" s="13"/>
      <c r="AO21" s="9"/>
      <c r="AQ21" s="254"/>
      <c r="AR21" s="258"/>
      <c r="AS21" s="259"/>
      <c r="AT21" s="259"/>
      <c r="AU21" s="259"/>
      <c r="AV21" s="259"/>
      <c r="AW21" s="259"/>
      <c r="AX21" s="259"/>
      <c r="AY21" s="259"/>
      <c r="AZ21" s="259"/>
      <c r="BA21" s="260"/>
      <c r="BB21" s="262"/>
      <c r="BC21" s="14"/>
    </row>
    <row r="22" spans="1:63" ht="6.75" customHeight="1" thickBot="1" x14ac:dyDescent="0.25">
      <c r="A22" s="263"/>
      <c r="B22" s="265"/>
      <c r="C22" s="267"/>
      <c r="D22" s="267"/>
      <c r="E22" s="267"/>
      <c r="F22" s="267"/>
      <c r="G22" s="269"/>
      <c r="H22" s="269"/>
      <c r="I22" s="269"/>
      <c r="J22" s="269"/>
      <c r="K22" s="269"/>
      <c r="L22" s="273"/>
      <c r="M22" s="15"/>
      <c r="O22" s="7"/>
      <c r="AO22" s="9"/>
      <c r="BC22" s="9"/>
    </row>
    <row r="23" spans="1:63" ht="6.75" customHeight="1" x14ac:dyDescent="0.2">
      <c r="A23" s="254">
        <v>9</v>
      </c>
      <c r="B23" s="255" t="str">
        <f ca="1">IF(A23=" "," ",IFERROR(VLOOKUP(LARGE(INDIRECT(VLOOKUP($A$5,'Start List'!$J$9:$Q$14,5,FALSE)),A23),'Start List'!$B$15:$V$139,3,FALSE),"bye to the next round"))</f>
        <v>bye to the next round</v>
      </c>
      <c r="C23" s="256"/>
      <c r="D23" s="256"/>
      <c r="E23" s="256"/>
      <c r="F23" s="256"/>
      <c r="G23" s="256"/>
      <c r="H23" s="256"/>
      <c r="I23" s="256"/>
      <c r="J23" s="256"/>
      <c r="K23" s="257"/>
      <c r="L23" s="261" t="str">
        <f ca="1">IFERROR(VLOOKUP(LARGE(INDIRECT(VLOOKUP($A$5,'Start List'!$J$9:$Q$14,5,FALSE)),Juniors!A23),'Start List'!$B$15:$V$139,7,FALSE)," ")</f>
        <v xml:space="preserve"> </v>
      </c>
      <c r="M23" s="8"/>
      <c r="O23" s="7"/>
      <c r="AO23" s="9"/>
      <c r="BC23" s="9"/>
    </row>
    <row r="24" spans="1:63" ht="6.75" customHeight="1" thickBot="1" x14ac:dyDescent="0.25">
      <c r="A24" s="254"/>
      <c r="B24" s="258"/>
      <c r="C24" s="259"/>
      <c r="D24" s="259"/>
      <c r="E24" s="259"/>
      <c r="F24" s="259"/>
      <c r="G24" s="259"/>
      <c r="H24" s="259"/>
      <c r="I24" s="259"/>
      <c r="J24" s="259"/>
      <c r="K24" s="260"/>
      <c r="L24" s="262"/>
      <c r="M24" s="13"/>
      <c r="AC24" s="263">
        <f>VLOOKUP(VLOOKUP($A$5,'Start List'!$J$9:$Q$14,8,FALSE)&amp;A7,Data!$D$2:$H$97,4,FALSE)</f>
        <v>14</v>
      </c>
      <c r="AD24" s="266"/>
      <c r="AE24" s="266"/>
      <c r="AF24" s="266"/>
      <c r="AG24" s="266"/>
      <c r="AH24" s="266"/>
      <c r="AI24" s="269">
        <f>IF(AD24&gt;AD26,2,IF(AND(AD26=AD24,AD24&gt;0),1,0))</f>
        <v>0</v>
      </c>
      <c r="AJ24" s="269">
        <f>IF(AE24&gt;AE26,2,IF(AND(AE26=AE24,AE24&gt;0),1,0))</f>
        <v>0</v>
      </c>
      <c r="AK24" s="269">
        <f>IF(AF24&gt;AF26,2,IF(AND(AF26=AF24,AF24&gt;0),1,0))</f>
        <v>0</v>
      </c>
      <c r="AL24" s="269">
        <f>IF(AG24&gt;AG26,2,IF(AND(AG26=AG24,AG24&gt;0),1,0))</f>
        <v>0</v>
      </c>
      <c r="AM24" s="269">
        <f>IF(AH24&gt;AH26,2,IF(AND(AH26=AH24,AH24&gt;0),1,0))</f>
        <v>0</v>
      </c>
      <c r="AN24" s="277">
        <f>SUM(AI24:AM25)</f>
        <v>0</v>
      </c>
      <c r="AO24" s="9"/>
      <c r="AQ24" s="263">
        <f>VLOOKUP(VLOOKUP($A$5,'Start List'!$J$9:$Q$14,8,FALSE)&amp;A7,Data!$D$2:$H$97,5,FALSE)</f>
        <v>2</v>
      </c>
      <c r="AR24" s="266"/>
      <c r="AS24" s="266"/>
      <c r="AT24" s="266"/>
      <c r="AU24" s="266"/>
      <c r="AV24" s="266"/>
      <c r="AW24" s="269">
        <f>IF(AR24&gt;AR26,2,IF(AND(AR26=AR24,AR24&gt;0),1,0))</f>
        <v>0</v>
      </c>
      <c r="AX24" s="269">
        <f>IF(AS24&gt;AS26,2,IF(AND(AS26=AS24,AS24&gt;0),1,0))</f>
        <v>0</v>
      </c>
      <c r="AY24" s="269">
        <f>IF(AT24&gt;AT26,2,IF(AND(AT26=AT24,AT24&gt;0),1,0))</f>
        <v>0</v>
      </c>
      <c r="AZ24" s="269">
        <f>IF(AU24&gt;AU26,2,IF(AND(AU26=AU24,AU24&gt;0),1,0))</f>
        <v>0</v>
      </c>
      <c r="BA24" s="269">
        <f>IF(AV24&gt;AV26,2,IF(AND(AV26=AV24,AV24&gt;0),1,0))</f>
        <v>0</v>
      </c>
      <c r="BB24" s="277">
        <f>SUM(AW24:BA25)</f>
        <v>0</v>
      </c>
      <c r="BC24" s="9"/>
    </row>
    <row r="25" spans="1:63" ht="6.75" customHeight="1" x14ac:dyDescent="0.2">
      <c r="A25" s="30"/>
      <c r="AC25" s="263"/>
      <c r="AD25" s="266"/>
      <c r="AE25" s="266"/>
      <c r="AF25" s="266"/>
      <c r="AG25" s="266"/>
      <c r="AH25" s="266"/>
      <c r="AI25" s="269"/>
      <c r="AJ25" s="269"/>
      <c r="AK25" s="269"/>
      <c r="AL25" s="269"/>
      <c r="AM25" s="269"/>
      <c r="AN25" s="277"/>
      <c r="AO25" s="9"/>
      <c r="AQ25" s="263"/>
      <c r="AR25" s="266"/>
      <c r="AS25" s="266"/>
      <c r="AT25" s="266"/>
      <c r="AU25" s="266"/>
      <c r="AV25" s="266"/>
      <c r="AW25" s="269"/>
      <c r="AX25" s="269"/>
      <c r="AY25" s="269"/>
      <c r="AZ25" s="269"/>
      <c r="BA25" s="269"/>
      <c r="BB25" s="277"/>
      <c r="BC25" s="9"/>
      <c r="BE25" s="254" t="str">
        <f>IF(AND(BB24&gt;BB26,BB24&gt;4),AQ20,IF(AND(BB26&gt;BB24,BB26&gt;4),AQ30,IF(AND(BB24=5,BB26=5),MIN(AQ20,AQ30)," ")))</f>
        <v xml:space="preserve"> </v>
      </c>
      <c r="BF25" s="279" t="str">
        <f ca="1">IF(BE25=" "," ",IFERROR(VLOOKUP(LARGE(INDIRECT(VLOOKUP($A$5,'Start List'!$J$9:$Q$14,5,FALSE)),BE25),'Start List'!$B$15:$V$139,3,FALSE),"bye to the next round"))</f>
        <v xml:space="preserve"> </v>
      </c>
      <c r="BG25" s="256"/>
      <c r="BH25" s="256"/>
      <c r="BI25" s="256"/>
      <c r="BJ25" s="257"/>
      <c r="BK25" s="261" t="str">
        <f ca="1">IFERROR(VLOOKUP(LARGE(INDIRECT(VLOOKUP($A$5,'Start List'!$J$9:$Q$14,5,FALSE)),BE25),'Start List'!$B$15:$V$139,7,FALSE)," ")</f>
        <v xml:space="preserve"> </v>
      </c>
    </row>
    <row r="26" spans="1:63" ht="6.75" customHeight="1" thickBo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63">
        <f>VLOOKUP(VLOOKUP($A$5,'Start List'!$J$9:$Q$14,8,FALSE)&amp;A43,Data!$D$2:$H$97,4,FALSE)</f>
        <v>15</v>
      </c>
      <c r="AD26" s="266"/>
      <c r="AE26" s="266"/>
      <c r="AF26" s="266"/>
      <c r="AG26" s="266"/>
      <c r="AH26" s="266"/>
      <c r="AI26" s="269">
        <f>IF(AD24&lt;AD26,2,IF(AND(AD26=AD24,AD26&gt;0),1,0))</f>
        <v>0</v>
      </c>
      <c r="AJ26" s="269">
        <f>IF(AE24&lt;AE26,2,IF(AND(AE26=AE24,AE26&gt;0),1,0))</f>
        <v>0</v>
      </c>
      <c r="AK26" s="269">
        <f>IF(AF24&lt;AF26,2,IF(AND(AF26=AF24,AF26&gt;0),1,0))</f>
        <v>0</v>
      </c>
      <c r="AL26" s="269">
        <f>IF(AG24&lt;AG26,2,IF(AND(AG26=AG24,AG26&gt;0),1,0))</f>
        <v>0</v>
      </c>
      <c r="AM26" s="269">
        <f>IF(AH24&lt;AH26,2,IF(AND(AH26=AH24,AH26&gt;0),1,0))</f>
        <v>0</v>
      </c>
      <c r="AN26" s="277">
        <f>SUM(AI26:AM27)</f>
        <v>0</v>
      </c>
      <c r="AO26" s="9"/>
      <c r="AP26" s="24"/>
      <c r="AQ26" s="263">
        <f>VLOOKUP(VLOOKUP($A$5,'Start List'!$J$9:$Q$14,8,FALSE)&amp;A47,Data!$D$2:$H$97,5,FALSE)</f>
        <v>3</v>
      </c>
      <c r="AR26" s="266"/>
      <c r="AS26" s="266"/>
      <c r="AT26" s="266"/>
      <c r="AU26" s="266"/>
      <c r="AV26" s="266"/>
      <c r="AW26" s="269">
        <f>IF(AR24&lt;AR26,2,IF(AND(AR26=AR24,AR26&gt;0),1,0))</f>
        <v>0</v>
      </c>
      <c r="AX26" s="269">
        <f>IF(AS24&lt;AS26,2,IF(AND(AS26=AS24,AS26&gt;0),1,0))</f>
        <v>0</v>
      </c>
      <c r="AY26" s="269">
        <f>IF(AT24&lt;AT26,2,IF(AND(AT26=AT24,AT26&gt;0),1,0))</f>
        <v>0</v>
      </c>
      <c r="AZ26" s="269">
        <f>IF(AU24&lt;AU26,2,IF(AND(AU26=AU24,AU26&gt;0),1,0))</f>
        <v>0</v>
      </c>
      <c r="BA26" s="269">
        <f>IF(AV24&lt;AV26,2,IF(AND(AV26=AV24,AV26&gt;0),1,0))</f>
        <v>0</v>
      </c>
      <c r="BB26" s="277">
        <f>SUM(AW26:BA27)</f>
        <v>0</v>
      </c>
      <c r="BC26" s="9"/>
      <c r="BD26" s="25"/>
      <c r="BE26" s="254"/>
      <c r="BF26" s="258"/>
      <c r="BG26" s="259"/>
      <c r="BH26" s="259"/>
      <c r="BI26" s="259"/>
      <c r="BJ26" s="260"/>
      <c r="BK26" s="262"/>
    </row>
    <row r="27" spans="1:63" ht="6.75" customHeight="1" x14ac:dyDescent="0.2">
      <c r="A27" s="254">
        <v>4</v>
      </c>
      <c r="B27" s="255" t="str">
        <f ca="1">IF(A27=" "," ",IFERROR(VLOOKUP(LARGE(INDIRECT(VLOOKUP($A$5,'Start List'!$J$9:$Q$14,5,FALSE)),A27),'Start List'!$B$15:$V$139,3,FALSE),"bye to the next round"))</f>
        <v>bye to the next round</v>
      </c>
      <c r="C27" s="256"/>
      <c r="D27" s="256"/>
      <c r="E27" s="256"/>
      <c r="F27" s="256"/>
      <c r="G27" s="256"/>
      <c r="H27" s="256"/>
      <c r="I27" s="256"/>
      <c r="J27" s="256"/>
      <c r="K27" s="257"/>
      <c r="L27" s="261" t="str">
        <f ca="1">IFERROR(VLOOKUP(LARGE(INDIRECT(VLOOKUP($A$5,'Start List'!$J$9:$Q$14,5,FALSE)),Juniors!A27),'Start List'!$B$15:$V$139,7,FALSE)," ")</f>
        <v xml:space="preserve"> </v>
      </c>
      <c r="M27" s="2"/>
      <c r="N27" s="5"/>
      <c r="O27" s="11"/>
      <c r="P27" s="1"/>
      <c r="Q27" s="1"/>
      <c r="R27" s="1"/>
      <c r="S27" s="1"/>
      <c r="T27" s="1"/>
      <c r="U27" s="1"/>
      <c r="V27" s="1"/>
      <c r="W27" s="1"/>
      <c r="X27" s="1"/>
      <c r="Y27" s="1"/>
      <c r="Z27" s="1"/>
      <c r="AA27" s="1"/>
      <c r="AB27" s="1"/>
      <c r="AC27" s="263"/>
      <c r="AD27" s="266"/>
      <c r="AE27" s="266"/>
      <c r="AF27" s="266"/>
      <c r="AG27" s="266"/>
      <c r="AH27" s="266"/>
      <c r="AI27" s="269"/>
      <c r="AJ27" s="269"/>
      <c r="AK27" s="269"/>
      <c r="AL27" s="269"/>
      <c r="AM27" s="269"/>
      <c r="AN27" s="277"/>
      <c r="AO27" s="9"/>
      <c r="AQ27" s="263"/>
      <c r="AR27" s="266"/>
      <c r="AS27" s="266"/>
      <c r="AT27" s="266"/>
      <c r="AU27" s="266"/>
      <c r="AV27" s="266"/>
      <c r="AW27" s="269"/>
      <c r="AX27" s="269"/>
      <c r="AY27" s="269"/>
      <c r="AZ27" s="269"/>
      <c r="BA27" s="269"/>
      <c r="BB27" s="277"/>
      <c r="BC27" s="9"/>
    </row>
    <row r="28" spans="1:63" ht="6.75" customHeight="1" thickBot="1" x14ac:dyDescent="0.25">
      <c r="A28" s="270"/>
      <c r="B28" s="258"/>
      <c r="C28" s="259"/>
      <c r="D28" s="259"/>
      <c r="E28" s="259"/>
      <c r="F28" s="259"/>
      <c r="G28" s="259"/>
      <c r="H28" s="259"/>
      <c r="I28" s="259"/>
      <c r="J28" s="259"/>
      <c r="K28" s="260"/>
      <c r="L28" s="262"/>
      <c r="M28" s="14"/>
      <c r="AO28" s="9"/>
      <c r="BC28" s="9"/>
    </row>
    <row r="29" spans="1:63" ht="6.75" customHeight="1" thickBot="1" x14ac:dyDescent="0.25">
      <c r="A29" s="263" t="str">
        <f>VLOOKUP(VLOOKUP($A$5,'Start List'!$J$9:$Q$14,8,FALSE)&amp;A27,Data!$D$2:$H$97,2,FALSE)</f>
        <v/>
      </c>
      <c r="B29" s="274"/>
      <c r="C29" s="271"/>
      <c r="D29" s="271"/>
      <c r="E29" s="271"/>
      <c r="F29" s="271"/>
      <c r="G29" s="268">
        <f>IF(B29&gt;B31,2,IF(AND(B31=B29,B29&gt;0),1,0))</f>
        <v>0</v>
      </c>
      <c r="H29" s="268">
        <f>IF(C29&gt;C31,2,IF(AND(C31=C29,C29&gt;0),1,0))</f>
        <v>0</v>
      </c>
      <c r="I29" s="268">
        <f>IF(D29&gt;D31,2,IF(AND(D31=D29,D29&gt;0),1,0))</f>
        <v>0</v>
      </c>
      <c r="J29" s="268">
        <f>IF(E29&gt;E31,2,IF(AND(E31=E29,E29&gt;0),1,0))</f>
        <v>0</v>
      </c>
      <c r="K29" s="268">
        <f>IF(F29&gt;F31,2,IF(AND(F31=F29,F29&gt;0),1,0))</f>
        <v>0</v>
      </c>
      <c r="L29" s="272">
        <f>SUM(G29:K30)</f>
        <v>0</v>
      </c>
      <c r="M29" s="9"/>
      <c r="AO29" s="9"/>
      <c r="AQ29" s="22"/>
      <c r="BC29" s="9"/>
    </row>
    <row r="30" spans="1:63" ht="6.75" customHeight="1" x14ac:dyDescent="0.2">
      <c r="A30" s="263"/>
      <c r="B30" s="264"/>
      <c r="C30" s="266"/>
      <c r="D30" s="266"/>
      <c r="E30" s="266"/>
      <c r="F30" s="266"/>
      <c r="G30" s="269"/>
      <c r="H30" s="269"/>
      <c r="I30" s="269"/>
      <c r="J30" s="269"/>
      <c r="K30" s="269"/>
      <c r="L30" s="273"/>
      <c r="M30" s="15"/>
      <c r="O30" s="254">
        <f ca="1">IF(B33="bye to the next round",A27,IF(AND(L29&gt;L31,L29&gt;4),A27,IF(AND(L31&gt;L29,L31&gt;4),A33,IF(AND(L29=5,L31=5),MIN(A27,A33)," "))))</f>
        <v>4</v>
      </c>
      <c r="P30" s="255" t="str">
        <f ca="1">IF(O30=" "," ",IFERROR(VLOOKUP(LARGE(INDIRECT(VLOOKUP($A$5,'Start List'!$J$9:$Q$14,5,FALSE)),O30),'Start List'!$B$15:$V$139,3,FALSE),"bye to the next round"))</f>
        <v>bye to the next round</v>
      </c>
      <c r="Q30" s="256"/>
      <c r="R30" s="256"/>
      <c r="S30" s="256"/>
      <c r="T30" s="256"/>
      <c r="U30" s="256"/>
      <c r="V30" s="256"/>
      <c r="W30" s="256"/>
      <c r="X30" s="256"/>
      <c r="Y30" s="257"/>
      <c r="Z30" s="261" t="str">
        <f ca="1">IFERROR(VLOOKUP(LARGE(INDIRECT(VLOOKUP($A$5,'Start List'!$J$9:$Q$14,5,FALSE)),Juniors!O30),'Start List'!$B$15:$V$139,7,FALSE)," ")</f>
        <v xml:space="preserve"> </v>
      </c>
      <c r="AA30" s="16"/>
      <c r="AO30" s="9"/>
      <c r="AQ30" s="254" t="str">
        <f>IF(AND(AN64&gt;AN66,AN64&gt;4),AC55,IF(AND(AN66&gt;AN64,AN66&gt;4),AC75,IF(AND(AN64=5,AN66=5),MIN(AC55,AC75)," ")))</f>
        <v xml:space="preserve"> </v>
      </c>
      <c r="AR30" s="255" t="str">
        <f ca="1">IF(AQ30=" "," ",IFERROR(VLOOKUP(LARGE(INDIRECT(VLOOKUP($A$5,'Start List'!$J$9:$Q$14,5,FALSE)),AQ30),'Start List'!$B$15:$V$139,3,FALSE),"bye to the next round"))</f>
        <v xml:space="preserve"> </v>
      </c>
      <c r="AS30" s="256"/>
      <c r="AT30" s="256"/>
      <c r="AU30" s="256"/>
      <c r="AV30" s="256"/>
      <c r="AW30" s="256"/>
      <c r="AX30" s="256"/>
      <c r="AY30" s="256"/>
      <c r="AZ30" s="256"/>
      <c r="BA30" s="257"/>
      <c r="BB30" s="261" t="str">
        <f ca="1">IFERROR(VLOOKUP(LARGE(INDIRECT(VLOOKUP($A$5,'Start List'!$J$9:$Q$14,5,FALSE)),Juniors!AQ30),'Start List'!$B$15:$V$139,7,FALSE)," ")</f>
        <v xml:space="preserve"> </v>
      </c>
      <c r="BC30" s="20"/>
    </row>
    <row r="31" spans="1:63" ht="6.75" customHeight="1" thickBot="1" x14ac:dyDescent="0.25">
      <c r="A31" s="263" t="str">
        <f>VLOOKUP(VLOOKUP($A$5,'Start List'!$J$9:$Q$14,8,FALSE)&amp;A33,Data!$D$2:$H$97,2,FALSE)</f>
        <v/>
      </c>
      <c r="B31" s="264"/>
      <c r="C31" s="266"/>
      <c r="D31" s="266"/>
      <c r="E31" s="266"/>
      <c r="F31" s="266"/>
      <c r="G31" s="268">
        <f>IF(B29&lt;B31,2,IF(AND(B31=B29,B31&gt;0),1,0))</f>
        <v>0</v>
      </c>
      <c r="H31" s="268">
        <f>IF(C29&lt;C31,2,IF(AND(C31=C29,C31&gt;0),1,0))</f>
        <v>0</v>
      </c>
      <c r="I31" s="268">
        <f>IF(D29&lt;D31,2,IF(AND(D31=D29,D31&gt;0),1,0))</f>
        <v>0</v>
      </c>
      <c r="J31" s="268">
        <f>IF(E29&lt;E31,2,IF(AND(E31=E29,E31&gt;0),1,0))</f>
        <v>0</v>
      </c>
      <c r="K31" s="268">
        <f>IF(F29&lt;F31,2,IF(AND(F31=F29,F31&gt;0),1,0))</f>
        <v>0</v>
      </c>
      <c r="L31" s="272">
        <f>SUM(G31:K32)</f>
        <v>0</v>
      </c>
      <c r="M31" s="15"/>
      <c r="N31" s="10"/>
      <c r="O31" s="254"/>
      <c r="P31" s="258"/>
      <c r="Q31" s="259"/>
      <c r="R31" s="259"/>
      <c r="S31" s="259"/>
      <c r="T31" s="259"/>
      <c r="U31" s="259"/>
      <c r="V31" s="259"/>
      <c r="W31" s="259"/>
      <c r="X31" s="259"/>
      <c r="Y31" s="260"/>
      <c r="Z31" s="262"/>
      <c r="AA31" s="12"/>
      <c r="AO31" s="9"/>
      <c r="AQ31" s="254"/>
      <c r="AR31" s="258"/>
      <c r="AS31" s="259"/>
      <c r="AT31" s="259"/>
      <c r="AU31" s="259"/>
      <c r="AV31" s="259"/>
      <c r="AW31" s="259"/>
      <c r="AX31" s="259"/>
      <c r="AY31" s="259"/>
      <c r="AZ31" s="259"/>
      <c r="BA31" s="260"/>
      <c r="BB31" s="262"/>
      <c r="BC31" s="23"/>
    </row>
    <row r="32" spans="1:63" ht="6.75" customHeight="1" thickBot="1" x14ac:dyDescent="0.25">
      <c r="A32" s="263"/>
      <c r="B32" s="265"/>
      <c r="C32" s="267"/>
      <c r="D32" s="267"/>
      <c r="E32" s="267"/>
      <c r="F32" s="267"/>
      <c r="G32" s="269"/>
      <c r="H32" s="269"/>
      <c r="I32" s="269"/>
      <c r="J32" s="269"/>
      <c r="K32" s="269"/>
      <c r="L32" s="273"/>
      <c r="M32" s="15"/>
      <c r="O32" s="7"/>
      <c r="AA32" s="9"/>
      <c r="AO32" s="9"/>
      <c r="BC32" s="23"/>
    </row>
    <row r="33" spans="1:63" ht="6.75" customHeight="1" x14ac:dyDescent="0.2">
      <c r="A33" s="254">
        <v>13</v>
      </c>
      <c r="B33" s="255" t="str">
        <f ca="1">IF(A33=" "," ",IFERROR(VLOOKUP(LARGE(INDIRECT(VLOOKUP($A$5,'Start List'!$J$9:$Q$14,5,FALSE)),A33),'Start List'!$B$15:$V$139,3,FALSE),"bye to the next round"))</f>
        <v>bye to the next round</v>
      </c>
      <c r="C33" s="256"/>
      <c r="D33" s="256"/>
      <c r="E33" s="256"/>
      <c r="F33" s="256"/>
      <c r="G33" s="256"/>
      <c r="H33" s="256"/>
      <c r="I33" s="256"/>
      <c r="J33" s="256"/>
      <c r="K33" s="257"/>
      <c r="L33" s="261" t="str">
        <f ca="1">IFERROR(VLOOKUP(LARGE(INDIRECT(VLOOKUP($A$5,'Start List'!$J$9:$Q$14,5,FALSE)),Juniors!A33),'Start List'!$B$15:$V$139,7,FALSE)," ")</f>
        <v xml:space="preserve"> </v>
      </c>
      <c r="M33" s="8"/>
      <c r="O33" s="7"/>
      <c r="AA33" s="9"/>
      <c r="AO33" s="9"/>
      <c r="BC33" s="23"/>
    </row>
    <row r="34" spans="1:63" ht="6.75" customHeight="1" thickBot="1" x14ac:dyDescent="0.25">
      <c r="A34" s="254"/>
      <c r="B34" s="258"/>
      <c r="C34" s="259"/>
      <c r="D34" s="259"/>
      <c r="E34" s="259"/>
      <c r="F34" s="259"/>
      <c r="G34" s="259"/>
      <c r="H34" s="259"/>
      <c r="I34" s="259"/>
      <c r="J34" s="259"/>
      <c r="K34" s="260"/>
      <c r="L34" s="262"/>
      <c r="M34" s="13"/>
      <c r="O34" s="263" t="str">
        <f>VLOOKUP(VLOOKUP($A$5,'Start List'!$J$9:$Q$14,8,FALSE)&amp;A27,Data!$D$2:$H$97,3,FALSE)</f>
        <v/>
      </c>
      <c r="P34" s="266"/>
      <c r="Q34" s="266"/>
      <c r="R34" s="266"/>
      <c r="S34" s="266"/>
      <c r="T34" s="266"/>
      <c r="U34" s="269">
        <f>IF(P34&gt;P36,2,IF(AND(P36=P34,P34&gt;0),1,0))</f>
        <v>0</v>
      </c>
      <c r="V34" s="269">
        <f>IF(Q34&gt;Q36,2,IF(AND(Q36=Q34,Q34&gt;0),1,0))</f>
        <v>0</v>
      </c>
      <c r="W34" s="269">
        <f>IF(R34&gt;R36,2,IF(AND(R36=R34,R34&gt;0),1,0))</f>
        <v>0</v>
      </c>
      <c r="X34" s="269">
        <f>IF(S34&gt;S36,2,IF(AND(S36=S34,S34&gt;0),1,0))</f>
        <v>0</v>
      </c>
      <c r="Y34" s="269">
        <f>IF(T34&gt;T36,2,IF(AND(T36=T34,T34&gt;0),1,0))</f>
        <v>0</v>
      </c>
      <c r="Z34" s="277">
        <f>SUM(U34:Y35)</f>
        <v>0</v>
      </c>
      <c r="AA34" s="9"/>
      <c r="AO34" s="9"/>
      <c r="BC34" s="23"/>
    </row>
    <row r="35" spans="1:63" ht="6.75" customHeight="1" x14ac:dyDescent="0.2">
      <c r="A35" s="30"/>
      <c r="O35" s="263"/>
      <c r="P35" s="266"/>
      <c r="Q35" s="266"/>
      <c r="R35" s="266"/>
      <c r="S35" s="266"/>
      <c r="T35" s="266"/>
      <c r="U35" s="269"/>
      <c r="V35" s="269"/>
      <c r="W35" s="269"/>
      <c r="X35" s="269"/>
      <c r="Y35" s="269"/>
      <c r="Z35" s="277"/>
      <c r="AA35" s="9"/>
      <c r="AC35" s="254">
        <f ca="1">IF(P40="bye to the next round",O30,IF(AND(Z34&gt;Z36,Z34&gt;4),O30,IF(AND(Z36&gt;Z34,Z36&gt;4),O40,IF(AND(Z34=5,Z36=5),MIN(O30,O40)," "))))</f>
        <v>4</v>
      </c>
      <c r="AD35" s="255" t="str">
        <f ca="1">IF(AC35=" "," ",IFERROR(VLOOKUP(LARGE(INDIRECT(VLOOKUP($A$5,'Start List'!$J$9:$Q$14,5,FALSE)),AC35),'Start List'!$B$15:$V$139,3,FALSE),"bye to the next round"))</f>
        <v>bye to the next round</v>
      </c>
      <c r="AE35" s="256"/>
      <c r="AF35" s="256"/>
      <c r="AG35" s="256"/>
      <c r="AH35" s="256"/>
      <c r="AI35" s="256"/>
      <c r="AJ35" s="256"/>
      <c r="AK35" s="256"/>
      <c r="AL35" s="256"/>
      <c r="AM35" s="257"/>
      <c r="AN35" s="275" t="str">
        <f ca="1">IFERROR(VLOOKUP(LARGE(INDIRECT(VLOOKUP($A$5,'Start List'!$J$9:$Q$14,5,FALSE)),Juniors!AC35),'Start List'!$B$15:$V$139,7,FALSE)," ")</f>
        <v xml:space="preserve"> </v>
      </c>
      <c r="AO35" s="8"/>
      <c r="BC35" s="23"/>
    </row>
    <row r="36" spans="1:63" ht="6.75" customHeight="1" thickBot="1" x14ac:dyDescent="0.25">
      <c r="A36" s="29"/>
      <c r="B36" s="29"/>
      <c r="C36" s="29"/>
      <c r="D36" s="29"/>
      <c r="E36" s="29"/>
      <c r="F36" s="29"/>
      <c r="G36" s="29"/>
      <c r="H36" s="29"/>
      <c r="I36" s="29"/>
      <c r="J36" s="29"/>
      <c r="K36" s="29"/>
      <c r="L36" s="29"/>
      <c r="M36" s="29"/>
      <c r="N36" s="29"/>
      <c r="O36" s="263" t="str">
        <f>VLOOKUP(VLOOKUP($A$5,'Start List'!$J$9:$Q$14,8,FALSE)&amp;A43,Data!$D$2:$H$97,3,FALSE)</f>
        <v/>
      </c>
      <c r="P36" s="266"/>
      <c r="Q36" s="266"/>
      <c r="R36" s="266"/>
      <c r="S36" s="266"/>
      <c r="T36" s="266"/>
      <c r="U36" s="269">
        <f>IF(P34&lt;P36,2,IF(AND(P36=P34,P36&gt;0),1,0))</f>
        <v>0</v>
      </c>
      <c r="V36" s="269">
        <f>IF(Q34&lt;Q36,2,IF(AND(Q36=Q34,Q36&gt;0),1,0))</f>
        <v>0</v>
      </c>
      <c r="W36" s="269">
        <f>IF(R34&lt;R36,2,IF(AND(R36=R34,R36&gt;0),1,0))</f>
        <v>0</v>
      </c>
      <c r="X36" s="269">
        <f>IF(S34&lt;S36,2,IF(AND(S36=S34,S36&gt;0),1,0))</f>
        <v>0</v>
      </c>
      <c r="Y36" s="269">
        <f>IF(T34&lt;T36,2,IF(AND(T36=T34,T36&gt;0),1,0))</f>
        <v>0</v>
      </c>
      <c r="Z36" s="277">
        <f>SUM(U36:Y37)</f>
        <v>0</v>
      </c>
      <c r="AA36" s="17"/>
      <c r="AB36" s="19"/>
      <c r="AC36" s="254"/>
      <c r="AD36" s="258"/>
      <c r="AE36" s="259"/>
      <c r="AF36" s="259"/>
      <c r="AG36" s="259"/>
      <c r="AH36" s="259"/>
      <c r="AI36" s="259"/>
      <c r="AJ36" s="259"/>
      <c r="AK36" s="259"/>
      <c r="AL36" s="259"/>
      <c r="AM36" s="260"/>
      <c r="AN36" s="276"/>
      <c r="AO36" s="13"/>
      <c r="BC36" s="23"/>
    </row>
    <row r="37" spans="1:63" ht="6.75" customHeight="1" x14ac:dyDescent="0.2">
      <c r="A37" s="254">
        <v>5</v>
      </c>
      <c r="B37" s="255" t="str">
        <f ca="1">IF(A37=" "," ",IFERROR(VLOOKUP(LARGE(INDIRECT(VLOOKUP($A$5,'Start List'!$J$9:$Q$14,5,FALSE)),A37),'Start List'!$B$15:$V$139,3,FALSE),"bye to the next round"))</f>
        <v>bye to the next round</v>
      </c>
      <c r="C37" s="256"/>
      <c r="D37" s="256"/>
      <c r="E37" s="256"/>
      <c r="F37" s="256"/>
      <c r="G37" s="256"/>
      <c r="H37" s="256"/>
      <c r="I37" s="256"/>
      <c r="J37" s="256"/>
      <c r="K37" s="257"/>
      <c r="L37" s="261" t="str">
        <f ca="1">IFERROR(VLOOKUP(LARGE(INDIRECT(VLOOKUP($A$5,'Start List'!$J$9:$Q$14,5,FALSE)),Juniors!A37),'Start List'!$B$15:$V$139,7,FALSE)," ")</f>
        <v xml:space="preserve"> </v>
      </c>
      <c r="M37" s="2"/>
      <c r="N37" s="5"/>
      <c r="O37" s="263"/>
      <c r="P37" s="266"/>
      <c r="Q37" s="266"/>
      <c r="R37" s="266"/>
      <c r="S37" s="266"/>
      <c r="T37" s="266"/>
      <c r="U37" s="269"/>
      <c r="V37" s="269"/>
      <c r="W37" s="269"/>
      <c r="X37" s="269"/>
      <c r="Y37" s="269"/>
      <c r="Z37" s="277"/>
      <c r="AA37" s="18"/>
      <c r="AB37" s="1"/>
      <c r="BC37" s="23"/>
    </row>
    <row r="38" spans="1:63" ht="6.75" customHeight="1" thickBot="1" x14ac:dyDescent="0.25">
      <c r="A38" s="270"/>
      <c r="B38" s="258"/>
      <c r="C38" s="259"/>
      <c r="D38" s="259"/>
      <c r="E38" s="259"/>
      <c r="F38" s="259"/>
      <c r="G38" s="259"/>
      <c r="H38" s="259"/>
      <c r="I38" s="259"/>
      <c r="J38" s="259"/>
      <c r="K38" s="260"/>
      <c r="L38" s="262"/>
      <c r="M38" s="14"/>
      <c r="AA38" s="9"/>
      <c r="BC38" s="23"/>
    </row>
    <row r="39" spans="1:63" ht="6.75" customHeight="1" thickBot="1" x14ac:dyDescent="0.25">
      <c r="A39" s="263" t="str">
        <f>VLOOKUP(VLOOKUP($A$5,'Start List'!$J$9:$Q$14,8,FALSE)&amp;A37,Data!$D$2:$H$97,2,FALSE)</f>
        <v/>
      </c>
      <c r="B39" s="274"/>
      <c r="C39" s="271"/>
      <c r="D39" s="271"/>
      <c r="E39" s="271"/>
      <c r="F39" s="271"/>
      <c r="G39" s="268">
        <f>IF(B39&gt;B41,2,IF(AND(B41=B39,B39&gt;0),1,0))</f>
        <v>0</v>
      </c>
      <c r="H39" s="268">
        <f>IF(C39&gt;C41,2,IF(AND(C41=C39,C39&gt;0),1,0))</f>
        <v>0</v>
      </c>
      <c r="I39" s="268">
        <f>IF(D39&gt;D41,2,IF(AND(D41=D39,D39&gt;0),1,0))</f>
        <v>0</v>
      </c>
      <c r="J39" s="268">
        <f>IF(E39&gt;E41,2,IF(AND(E41=E39,E39&gt;0),1,0))</f>
        <v>0</v>
      </c>
      <c r="K39" s="268">
        <f>IF(F39&gt;F41,2,IF(AND(F41=F39,F39&gt;0),1,0))</f>
        <v>0</v>
      </c>
      <c r="L39" s="272">
        <f>SUM(G39:K40)</f>
        <v>0</v>
      </c>
      <c r="M39" s="9"/>
      <c r="AA39" s="9"/>
      <c r="BC39" s="23"/>
    </row>
    <row r="40" spans="1:63" ht="6.75" customHeight="1" x14ac:dyDescent="0.2">
      <c r="A40" s="263"/>
      <c r="B40" s="264"/>
      <c r="C40" s="266"/>
      <c r="D40" s="266"/>
      <c r="E40" s="266"/>
      <c r="F40" s="266"/>
      <c r="G40" s="269"/>
      <c r="H40" s="269"/>
      <c r="I40" s="269"/>
      <c r="J40" s="269"/>
      <c r="K40" s="269"/>
      <c r="L40" s="273"/>
      <c r="M40" s="15"/>
      <c r="O40" s="254">
        <f ca="1">IF(B43="bye to the next round",A37,IF(AND(L39&gt;L41,L39&gt;4),A37,IF(AND(L41&gt;L39,L41&gt;4),A43,IF(AND(L39=5,L41=5),MIN(A37,A43)," "))))</f>
        <v>5</v>
      </c>
      <c r="P40" s="255" t="str">
        <f ca="1">IF(O40=" "," ",IFERROR(VLOOKUP(LARGE(INDIRECT(VLOOKUP($A$5,'Start List'!$J$9:$Q$14,5,FALSE)),O40),'Start List'!$B$15:$V$139,3,FALSE),"bye to the next round"))</f>
        <v>bye to the next round</v>
      </c>
      <c r="Q40" s="256"/>
      <c r="R40" s="256"/>
      <c r="S40" s="256"/>
      <c r="T40" s="256"/>
      <c r="U40" s="256"/>
      <c r="V40" s="256"/>
      <c r="W40" s="256"/>
      <c r="X40" s="256"/>
      <c r="Y40" s="257"/>
      <c r="Z40" s="261" t="str">
        <f ca="1">IFERROR(VLOOKUP(LARGE(INDIRECT(VLOOKUP($A$5,'Start List'!$J$9:$Q$14,5,FALSE)),Juniors!O40),'Start List'!$B$15:$V$139,7,FALSE)," ")</f>
        <v xml:space="preserve"> </v>
      </c>
      <c r="AA40" s="8"/>
      <c r="BC40" s="23"/>
      <c r="BE40" s="278" t="str">
        <f>VLOOKUP("Stand",Translation!$A$1:$E$57,Data!$AP$2,FALSE)</f>
        <v>Final Standings</v>
      </c>
      <c r="BF40" s="278"/>
      <c r="BG40" s="278"/>
      <c r="BH40" s="278"/>
      <c r="BI40" s="278"/>
      <c r="BJ40" s="278"/>
      <c r="BK40" s="278"/>
    </row>
    <row r="41" spans="1:63" ht="6.75" customHeight="1" thickBot="1" x14ac:dyDescent="0.25">
      <c r="A41" s="263" t="str">
        <f>VLOOKUP(VLOOKUP($A$5,'Start List'!$J$9:$Q$14,8,FALSE)&amp;A43,Data!$D$2:$H$97,2,FALSE)</f>
        <v/>
      </c>
      <c r="B41" s="264"/>
      <c r="C41" s="266"/>
      <c r="D41" s="266"/>
      <c r="E41" s="266"/>
      <c r="F41" s="266"/>
      <c r="G41" s="268">
        <f>IF(B39&lt;B41,2,IF(AND(B41=B39,B41&gt;0),1,0))</f>
        <v>0</v>
      </c>
      <c r="H41" s="268">
        <f>IF(C39&lt;C41,2,IF(AND(C41=C39,C41&gt;0),1,0))</f>
        <v>0</v>
      </c>
      <c r="I41" s="268">
        <f>IF(D39&lt;D41,2,IF(AND(D41=D39,D41&gt;0),1,0))</f>
        <v>0</v>
      </c>
      <c r="J41" s="268">
        <f>IF(E39&lt;E41,2,IF(AND(E41=E39,E41&gt;0),1,0))</f>
        <v>0</v>
      </c>
      <c r="K41" s="268">
        <f>IF(F39&lt;F41,2,IF(AND(F41=F39,F41&gt;0),1,0))</f>
        <v>0</v>
      </c>
      <c r="L41" s="272">
        <f>SUM(G41:K42)</f>
        <v>0</v>
      </c>
      <c r="M41" s="15"/>
      <c r="N41" s="10"/>
      <c r="O41" s="254"/>
      <c r="P41" s="258"/>
      <c r="Q41" s="259"/>
      <c r="R41" s="259"/>
      <c r="S41" s="259"/>
      <c r="T41" s="259"/>
      <c r="U41" s="259"/>
      <c r="V41" s="259"/>
      <c r="W41" s="259"/>
      <c r="X41" s="259"/>
      <c r="Y41" s="260"/>
      <c r="Z41" s="262"/>
      <c r="AA41" s="13"/>
      <c r="BE41" s="278"/>
      <c r="BF41" s="278"/>
      <c r="BG41" s="278"/>
      <c r="BH41" s="278"/>
      <c r="BI41" s="278"/>
      <c r="BJ41" s="278"/>
      <c r="BK41" s="278"/>
    </row>
    <row r="42" spans="1:63" ht="6.75" customHeight="1" thickBot="1" x14ac:dyDescent="0.25">
      <c r="A42" s="263"/>
      <c r="B42" s="265"/>
      <c r="C42" s="267"/>
      <c r="D42" s="267"/>
      <c r="E42" s="267"/>
      <c r="F42" s="267"/>
      <c r="G42" s="269"/>
      <c r="H42" s="269"/>
      <c r="I42" s="269"/>
      <c r="J42" s="269"/>
      <c r="K42" s="269"/>
      <c r="L42" s="273"/>
      <c r="M42" s="15"/>
      <c r="O42" s="7"/>
      <c r="BE42" s="280">
        <v>1</v>
      </c>
      <c r="BF42" s="282" t="str">
        <f ca="1">BF25</f>
        <v xml:space="preserve"> </v>
      </c>
      <c r="BG42" s="282"/>
      <c r="BH42" s="282"/>
      <c r="BI42" s="282"/>
      <c r="BJ42" s="282"/>
      <c r="BK42" s="284" t="str">
        <f ca="1">BK25</f>
        <v xml:space="preserve"> </v>
      </c>
    </row>
    <row r="43" spans="1:63" ht="6.75" customHeight="1" x14ac:dyDescent="0.2">
      <c r="A43" s="254">
        <v>12</v>
      </c>
      <c r="B43" s="255" t="str">
        <f ca="1">IF(A43=" "," ",IFERROR(VLOOKUP(LARGE(INDIRECT(VLOOKUP($A$5,'Start List'!$J$9:$Q$14,5,FALSE)),A43),'Start List'!$B$15:$V$139,3,FALSE),"bye to the next round"))</f>
        <v>bye to the next round</v>
      </c>
      <c r="C43" s="256"/>
      <c r="D43" s="256"/>
      <c r="E43" s="256"/>
      <c r="F43" s="256"/>
      <c r="G43" s="256"/>
      <c r="H43" s="256"/>
      <c r="I43" s="256"/>
      <c r="J43" s="256"/>
      <c r="K43" s="257"/>
      <c r="L43" s="261" t="str">
        <f ca="1">IFERROR(VLOOKUP(LARGE(INDIRECT(VLOOKUP($A$5,'Start List'!$J$9:$Q$14,5,FALSE)),Juniors!A43),'Start List'!$B$15:$V$139,7,FALSE)," ")</f>
        <v xml:space="preserve"> </v>
      </c>
      <c r="M43" s="8"/>
      <c r="O43" s="7"/>
      <c r="BE43" s="281"/>
      <c r="BF43" s="283"/>
      <c r="BG43" s="283"/>
      <c r="BH43" s="283"/>
      <c r="BI43" s="283"/>
      <c r="BJ43" s="283"/>
      <c r="BK43" s="285"/>
    </row>
    <row r="44" spans="1:63" ht="6.75" customHeight="1" thickBot="1" x14ac:dyDescent="0.25">
      <c r="A44" s="254"/>
      <c r="B44" s="258"/>
      <c r="C44" s="259"/>
      <c r="D44" s="259"/>
      <c r="E44" s="259"/>
      <c r="F44" s="259"/>
      <c r="G44" s="259"/>
      <c r="H44" s="259"/>
      <c r="I44" s="259"/>
      <c r="J44" s="259"/>
      <c r="K44" s="260"/>
      <c r="L44" s="262"/>
      <c r="M44" s="13"/>
      <c r="BE44" s="286">
        <v>2</v>
      </c>
      <c r="BF44" s="283" t="str">
        <f>IF(BE25=" "," ",IF(BE25=AQ20,AR30,AR20))</f>
        <v xml:space="preserve"> </v>
      </c>
      <c r="BG44" s="283"/>
      <c r="BH44" s="283"/>
      <c r="BI44" s="283"/>
      <c r="BJ44" s="283"/>
      <c r="BK44" s="285" t="str">
        <f>IF(BE25=" "," ",IF(BE25=AQ20,BB30,BB20))</f>
        <v xml:space="preserve"> </v>
      </c>
    </row>
    <row r="45" spans="1:63" ht="6.75" customHeight="1" x14ac:dyDescent="0.2">
      <c r="A45" s="30"/>
      <c r="BE45" s="286"/>
      <c r="BF45" s="283"/>
      <c r="BG45" s="283"/>
      <c r="BH45" s="283"/>
      <c r="BI45" s="283"/>
      <c r="BJ45" s="283"/>
      <c r="BK45" s="285"/>
    </row>
    <row r="46" spans="1:63" ht="6.75" customHeight="1" thickBo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BE46" s="287">
        <v>3</v>
      </c>
      <c r="BF46" s="283" t="str">
        <f ca="1">BF65</f>
        <v xml:space="preserve"> </v>
      </c>
      <c r="BG46" s="283"/>
      <c r="BH46" s="283"/>
      <c r="BI46" s="283"/>
      <c r="BJ46" s="283"/>
      <c r="BK46" s="285" t="str">
        <f ca="1">BK65</f>
        <v xml:space="preserve"> </v>
      </c>
    </row>
    <row r="47" spans="1:63" ht="6.75" customHeight="1" x14ac:dyDescent="0.2">
      <c r="A47" s="254">
        <v>2</v>
      </c>
      <c r="B47" s="255" t="str">
        <f ca="1">IF(A47=" "," ",IFERROR(VLOOKUP(LARGE(INDIRECT(VLOOKUP($A$5,'Start List'!$J$9:$Q$14,5,FALSE)),A47),'Start List'!$B$15:$V$139,3,FALSE),"bye to the next round"))</f>
        <v>Iva Popović-Gecan</v>
      </c>
      <c r="C47" s="256"/>
      <c r="D47" s="256"/>
      <c r="E47" s="256"/>
      <c r="F47" s="256"/>
      <c r="G47" s="256"/>
      <c r="H47" s="256"/>
      <c r="I47" s="256"/>
      <c r="J47" s="256"/>
      <c r="K47" s="257"/>
      <c r="L47" s="261" t="str">
        <f ca="1">IFERROR(VLOOKUP(LARGE(INDIRECT(VLOOKUP($A$5,'Start List'!$J$9:$Q$14,5,FALSE)),Juniors!A47),'Start List'!$B$15:$V$139,7,FALSE)," ")</f>
        <v xml:space="preserve"> </v>
      </c>
      <c r="M47" s="2"/>
      <c r="N47" s="5"/>
      <c r="O47" s="11"/>
      <c r="P47" s="1"/>
      <c r="Q47" s="1"/>
      <c r="R47" s="1"/>
      <c r="S47" s="1"/>
      <c r="T47" s="1"/>
      <c r="U47" s="1"/>
      <c r="V47" s="1"/>
      <c r="W47" s="1"/>
      <c r="X47" s="1"/>
      <c r="Y47" s="1"/>
      <c r="Z47" s="1"/>
      <c r="AA47" s="1"/>
      <c r="AB47" s="1"/>
      <c r="BE47" s="287"/>
      <c r="BF47" s="283"/>
      <c r="BG47" s="283"/>
      <c r="BH47" s="283"/>
      <c r="BI47" s="283"/>
      <c r="BJ47" s="283"/>
      <c r="BK47" s="285"/>
    </row>
    <row r="48" spans="1:63" ht="6.75" customHeight="1" thickBot="1" x14ac:dyDescent="0.25">
      <c r="A48" s="270"/>
      <c r="B48" s="258"/>
      <c r="C48" s="259"/>
      <c r="D48" s="259"/>
      <c r="E48" s="259"/>
      <c r="F48" s="259"/>
      <c r="G48" s="259"/>
      <c r="H48" s="259"/>
      <c r="I48" s="259"/>
      <c r="J48" s="259"/>
      <c r="K48" s="260"/>
      <c r="L48" s="262"/>
      <c r="M48" s="14"/>
      <c r="BE48" s="288">
        <v>4</v>
      </c>
      <c r="BF48" s="283" t="str">
        <f>IF(BE65=" "," ",IF(BE65=AQ60,AR70,AR60))</f>
        <v xml:space="preserve"> </v>
      </c>
      <c r="BG48" s="283"/>
      <c r="BH48" s="283"/>
      <c r="BI48" s="283"/>
      <c r="BJ48" s="283"/>
      <c r="BK48" s="285" t="str">
        <f>IF(BE65=" "," ",IF(BE65=AQ60,BB70,BB60))</f>
        <v xml:space="preserve"> </v>
      </c>
    </row>
    <row r="49" spans="1:68" ht="6.75" customHeight="1" thickBot="1" x14ac:dyDescent="0.25">
      <c r="A49" s="263" t="str">
        <f>VLOOKUP(VLOOKUP($A$5,'Start List'!$J$9:$Q$14,8,FALSE)&amp;A47,Data!$D$2:$H$97,2,FALSE)</f>
        <v/>
      </c>
      <c r="B49" s="274"/>
      <c r="C49" s="271"/>
      <c r="D49" s="271"/>
      <c r="E49" s="271"/>
      <c r="F49" s="271"/>
      <c r="G49" s="268">
        <f>IF(B49&gt;B51,2,IF(AND(B51=B49,B49&gt;0),1,0))</f>
        <v>0</v>
      </c>
      <c r="H49" s="268">
        <f>IF(C49&gt;C51,2,IF(AND(C51=C49,C49&gt;0),1,0))</f>
        <v>0</v>
      </c>
      <c r="I49" s="268">
        <f>IF(D49&gt;D51,2,IF(AND(D51=D49,D49&gt;0),1,0))</f>
        <v>0</v>
      </c>
      <c r="J49" s="268">
        <f>IF(E49&gt;E51,2,IF(AND(E51=E49,E49&gt;0),1,0))</f>
        <v>0</v>
      </c>
      <c r="K49" s="268">
        <f>IF(F49&gt;F51,2,IF(AND(F51=F49,F49&gt;0),1,0))</f>
        <v>0</v>
      </c>
      <c r="L49" s="272">
        <f>SUM(G49:K50)</f>
        <v>0</v>
      </c>
      <c r="M49" s="9"/>
      <c r="BE49" s="289"/>
      <c r="BF49" s="290"/>
      <c r="BG49" s="290"/>
      <c r="BH49" s="290"/>
      <c r="BI49" s="290"/>
      <c r="BJ49" s="290"/>
      <c r="BK49" s="291"/>
    </row>
    <row r="50" spans="1:68" ht="6.75" customHeight="1" x14ac:dyDescent="0.2">
      <c r="A50" s="263"/>
      <c r="B50" s="264"/>
      <c r="C50" s="266"/>
      <c r="D50" s="266"/>
      <c r="E50" s="266"/>
      <c r="F50" s="266"/>
      <c r="G50" s="269"/>
      <c r="H50" s="269"/>
      <c r="I50" s="269"/>
      <c r="J50" s="269"/>
      <c r="K50" s="269"/>
      <c r="L50" s="273"/>
      <c r="M50" s="15"/>
      <c r="O50" s="254">
        <f ca="1">IF(B53="bye to the next round",A47,IF(AND(L49&gt;L51,L49&gt;4),A47,IF(AND(L51&gt;L49,L51&gt;4),A53,IF(AND(L49=5,L51=5),MIN(A47,A53)," "))))</f>
        <v>2</v>
      </c>
      <c r="P50" s="255" t="str">
        <f ca="1">IF(O50=" "," ",IFERROR(VLOOKUP(LARGE(INDIRECT(VLOOKUP($A$5,'Start List'!$J$9:$Q$14,5,FALSE)),O50),'Start List'!$B$15:$V$139,3,FALSE),"bye to the next round"))</f>
        <v>Iva Popović-Gecan</v>
      </c>
      <c r="Q50" s="256"/>
      <c r="R50" s="256"/>
      <c r="S50" s="256"/>
      <c r="T50" s="256"/>
      <c r="U50" s="256"/>
      <c r="V50" s="256"/>
      <c r="W50" s="256"/>
      <c r="X50" s="256"/>
      <c r="Y50" s="257"/>
      <c r="Z50" s="261" t="str">
        <f ca="1">IFERROR(VLOOKUP(LARGE(INDIRECT(VLOOKUP($A$5,'Start List'!$J$9:$Q$14,5,FALSE)),Juniors!O50),'Start List'!$B$15:$V$139,7,FALSE)," ")</f>
        <v xml:space="preserve"> </v>
      </c>
      <c r="AA50" s="16"/>
      <c r="BE50" s="196">
        <f>Data!AW4</f>
        <v>44062</v>
      </c>
      <c r="BF50" s="197"/>
      <c r="BG50" s="197"/>
      <c r="BH50" s="197"/>
      <c r="BI50" s="197"/>
      <c r="BJ50" s="197"/>
      <c r="BK50" s="197"/>
      <c r="BM50" s="7">
        <v>1</v>
      </c>
      <c r="BN50" s="7" t="str">
        <f>L9&amp;":"&amp;L11</f>
        <v>0:0</v>
      </c>
      <c r="BO50" s="7" t="str">
        <f>Z14&amp;":"&amp;Z16</f>
        <v>0:0</v>
      </c>
      <c r="BP50" s="7" t="str">
        <f>AN24&amp;":"&amp;AN26</f>
        <v>0:0</v>
      </c>
    </row>
    <row r="51" spans="1:68" ht="6.75" customHeight="1" thickBot="1" x14ac:dyDescent="0.25">
      <c r="A51" s="263" t="str">
        <f>VLOOKUP(VLOOKUP($A$5,'Start List'!$J$9:$Q$14,8,FALSE)&amp;A53,Data!$D$2:$H$97,2,FALSE)</f>
        <v/>
      </c>
      <c r="B51" s="264"/>
      <c r="C51" s="266"/>
      <c r="D51" s="266"/>
      <c r="E51" s="266"/>
      <c r="F51" s="266"/>
      <c r="G51" s="268">
        <f>IF(B49&lt;B51,2,IF(AND(B51=B49,B51&gt;0),1,0))</f>
        <v>0</v>
      </c>
      <c r="H51" s="268">
        <f>IF(C49&lt;C51,2,IF(AND(C51=C49,C51&gt;0),1,0))</f>
        <v>0</v>
      </c>
      <c r="I51" s="268">
        <f>IF(D49&lt;D51,2,IF(AND(D51=D49,D51&gt;0),1,0))</f>
        <v>0</v>
      </c>
      <c r="J51" s="268">
        <f>IF(E49&lt;E51,2,IF(AND(E51=E49,E51&gt;0),1,0))</f>
        <v>0</v>
      </c>
      <c r="K51" s="268">
        <f>IF(F49&lt;F51,2,IF(AND(F51=F49,F51&gt;0),1,0))</f>
        <v>0</v>
      </c>
      <c r="L51" s="272">
        <f>SUM(G51:K52)</f>
        <v>0</v>
      </c>
      <c r="M51" s="15"/>
      <c r="N51" s="10"/>
      <c r="O51" s="254"/>
      <c r="P51" s="258"/>
      <c r="Q51" s="259"/>
      <c r="R51" s="259"/>
      <c r="S51" s="259"/>
      <c r="T51" s="259"/>
      <c r="U51" s="259"/>
      <c r="V51" s="259"/>
      <c r="W51" s="259"/>
      <c r="X51" s="259"/>
      <c r="Y51" s="260"/>
      <c r="Z51" s="262"/>
      <c r="AA51" s="12"/>
      <c r="BE51" s="199"/>
      <c r="BF51" s="199"/>
      <c r="BG51" s="199"/>
      <c r="BH51" s="199"/>
      <c r="BI51" s="199"/>
      <c r="BJ51" s="199"/>
      <c r="BK51" s="199"/>
      <c r="BM51" s="7">
        <v>2</v>
      </c>
      <c r="BN51" s="7" t="str">
        <f>L49&amp;":"&amp;L51</f>
        <v>0:0</v>
      </c>
      <c r="BO51" s="7" t="str">
        <f>Z54&amp;":"&amp;Z56</f>
        <v>0:0</v>
      </c>
      <c r="BP51" s="7" t="str">
        <f>AN64&amp;":"&amp;AN66</f>
        <v>0:0</v>
      </c>
    </row>
    <row r="52" spans="1:68" ht="6.75" customHeight="1" thickBot="1" x14ac:dyDescent="0.25">
      <c r="A52" s="263"/>
      <c r="B52" s="265"/>
      <c r="C52" s="267"/>
      <c r="D52" s="267"/>
      <c r="E52" s="267"/>
      <c r="F52" s="267"/>
      <c r="G52" s="269"/>
      <c r="H52" s="269"/>
      <c r="I52" s="269"/>
      <c r="J52" s="269"/>
      <c r="K52" s="269"/>
      <c r="L52" s="273"/>
      <c r="M52" s="15"/>
      <c r="O52" s="7"/>
      <c r="AA52" s="9"/>
      <c r="BC52" s="23"/>
      <c r="BE52" s="198">
        <f ca="1">Data!AW5</f>
        <v>44059.610003935188</v>
      </c>
      <c r="BF52" s="199"/>
      <c r="BG52" s="199"/>
      <c r="BH52" s="199"/>
      <c r="BI52" s="199"/>
      <c r="BJ52" s="199"/>
      <c r="BK52" s="199"/>
      <c r="BM52" s="7">
        <v>3</v>
      </c>
      <c r="BN52" s="7" t="str">
        <f>L69&amp;":"&amp;L71</f>
        <v>0:0</v>
      </c>
      <c r="BO52" s="7" t="str">
        <f>Z74&amp;":"&amp;Z76</f>
        <v>0:0</v>
      </c>
      <c r="BP52" s="7" t="str">
        <f>AN66&amp;":"&amp;AN64</f>
        <v>0:0</v>
      </c>
    </row>
    <row r="53" spans="1:68" ht="6.75" customHeight="1" x14ac:dyDescent="0.2">
      <c r="A53" s="254">
        <v>15</v>
      </c>
      <c r="B53" s="255" t="str">
        <f ca="1">IF(A53=" "," ",IFERROR(VLOOKUP(LARGE(INDIRECT(VLOOKUP($A$5,'Start List'!$J$9:$Q$14,5,FALSE)),A53),'Start List'!$B$15:$V$139,3,FALSE),"bye to the next round"))</f>
        <v>bye to the next round</v>
      </c>
      <c r="C53" s="256"/>
      <c r="D53" s="256"/>
      <c r="E53" s="256"/>
      <c r="F53" s="256"/>
      <c r="G53" s="256"/>
      <c r="H53" s="256"/>
      <c r="I53" s="256"/>
      <c r="J53" s="256"/>
      <c r="K53" s="257"/>
      <c r="L53" s="261" t="str">
        <f ca="1">IFERROR(VLOOKUP(LARGE(INDIRECT(VLOOKUP($A$5,'Start List'!$J$9:$Q$14,5,FALSE)),Juniors!A53),'Start List'!$B$15:$V$139,7,FALSE)," ")</f>
        <v xml:space="preserve"> </v>
      </c>
      <c r="M53" s="8"/>
      <c r="O53" s="7"/>
      <c r="AA53" s="9"/>
      <c r="BC53" s="23"/>
      <c r="BM53" s="7">
        <v>4</v>
      </c>
      <c r="BN53" s="7" t="str">
        <f>L29&amp;":"&amp;L31</f>
        <v>0:0</v>
      </c>
      <c r="BO53" s="7" t="str">
        <f>Z34&amp;":"&amp;Z36</f>
        <v>0:0</v>
      </c>
      <c r="BP53" s="7" t="str">
        <f>AN26&amp;":"&amp;AN24</f>
        <v>0:0</v>
      </c>
    </row>
    <row r="54" spans="1:68" ht="6.75" customHeight="1" thickBot="1" x14ac:dyDescent="0.25">
      <c r="A54" s="254"/>
      <c r="B54" s="258"/>
      <c r="C54" s="259"/>
      <c r="D54" s="259"/>
      <c r="E54" s="259"/>
      <c r="F54" s="259"/>
      <c r="G54" s="259"/>
      <c r="H54" s="259"/>
      <c r="I54" s="259"/>
      <c r="J54" s="259"/>
      <c r="K54" s="260"/>
      <c r="L54" s="262"/>
      <c r="M54" s="13"/>
      <c r="O54" s="263" t="str">
        <f>VLOOKUP(VLOOKUP($A$5,'Start List'!$J$9:$Q$14,8,FALSE)&amp;A47,Data!$D$2:$H$97,3,FALSE)</f>
        <v/>
      </c>
      <c r="P54" s="266"/>
      <c r="Q54" s="266"/>
      <c r="R54" s="266"/>
      <c r="S54" s="266"/>
      <c r="T54" s="266"/>
      <c r="U54" s="269">
        <f>IF(P54&gt;P56,2,IF(AND(P56=P54,P54&gt;0),1,0))</f>
        <v>0</v>
      </c>
      <c r="V54" s="269">
        <f>IF(Q54&gt;Q56,2,IF(AND(Q56=Q54,Q54&gt;0),1,0))</f>
        <v>0</v>
      </c>
      <c r="W54" s="269">
        <f>IF(R54&gt;R56,2,IF(AND(R56=R54,R54&gt;0),1,0))</f>
        <v>0</v>
      </c>
      <c r="X54" s="269">
        <f>IF(S54&gt;S56,2,IF(AND(S56=S54,S54&gt;0),1,0))</f>
        <v>0</v>
      </c>
      <c r="Y54" s="269">
        <f>IF(T54&gt;T56,2,IF(AND(T56=T54,T54&gt;0),1,0))</f>
        <v>0</v>
      </c>
      <c r="Z54" s="277">
        <f>SUM(U54:Y55)</f>
        <v>0</v>
      </c>
      <c r="AA54" s="9"/>
      <c r="BC54" s="23"/>
      <c r="BM54" s="7">
        <v>5</v>
      </c>
      <c r="BN54" s="7" t="str">
        <f>L39&amp;":"&amp;L41</f>
        <v>0:0</v>
      </c>
      <c r="BO54" s="7" t="str">
        <f>Z36&amp;":"&amp;Z34</f>
        <v>0:0</v>
      </c>
      <c r="BP54" s="7" t="str">
        <f>BP53</f>
        <v>0:0</v>
      </c>
    </row>
    <row r="55" spans="1:68" ht="6.75" customHeight="1" x14ac:dyDescent="0.2">
      <c r="A55" s="30"/>
      <c r="O55" s="263"/>
      <c r="P55" s="266"/>
      <c r="Q55" s="266"/>
      <c r="R55" s="266"/>
      <c r="S55" s="266"/>
      <c r="T55" s="266"/>
      <c r="U55" s="269"/>
      <c r="V55" s="269"/>
      <c r="W55" s="269"/>
      <c r="X55" s="269"/>
      <c r="Y55" s="269"/>
      <c r="Z55" s="277"/>
      <c r="AA55" s="9"/>
      <c r="AC55" s="254">
        <f ca="1">IF(P60="bye to the next round",O50,IF(AND(Z54&gt;Z56,Z54&gt;4),O50,IF(AND(Z56&gt;Z54,Z56&gt;4),O60,IF(AND(Z54=5,Z56=5),MIN(O50,O60)," "))))</f>
        <v>2</v>
      </c>
      <c r="AD55" s="292" t="str">
        <f ca="1">IF(AC55=" "," ",IFERROR(VLOOKUP(LARGE(INDIRECT(VLOOKUP($A$5,'Start List'!$J$9:$Q$14,5,FALSE)),AC55),'Start List'!$B$15:$V$139,3,FALSE),"bye to the next round"))</f>
        <v>Iva Popović-Gecan</v>
      </c>
      <c r="AE55" s="293"/>
      <c r="AF55" s="293"/>
      <c r="AG55" s="293"/>
      <c r="AH55" s="293"/>
      <c r="AI55" s="293"/>
      <c r="AJ55" s="293"/>
      <c r="AK55" s="293"/>
      <c r="AL55" s="293"/>
      <c r="AM55" s="294"/>
      <c r="AN55" s="261" t="str">
        <f ca="1">IFERROR(VLOOKUP(LARGE(INDIRECT(VLOOKUP($A$5,'Start List'!$J$9:$Q$14,5,FALSE)),Juniors!AC55),'Start List'!$B$15:$V$139,7,FALSE)," ")</f>
        <v xml:space="preserve"> </v>
      </c>
      <c r="BC55" s="23"/>
      <c r="BM55" s="7">
        <v>6</v>
      </c>
      <c r="BN55" s="7" t="str">
        <f>L79&amp;":"&amp;L81</f>
        <v>0:0</v>
      </c>
      <c r="BO55" s="7" t="str">
        <f>Z76&amp;":"&amp;Z74</f>
        <v>0:0</v>
      </c>
      <c r="BP55" s="7" t="str">
        <f>BP52</f>
        <v>0:0</v>
      </c>
    </row>
    <row r="56" spans="1:68" ht="6.75" customHeight="1" thickBot="1" x14ac:dyDescent="0.25">
      <c r="A56" s="29"/>
      <c r="B56" s="29"/>
      <c r="C56" s="29"/>
      <c r="D56" s="29"/>
      <c r="E56" s="29"/>
      <c r="F56" s="29"/>
      <c r="G56" s="29"/>
      <c r="H56" s="29"/>
      <c r="I56" s="29"/>
      <c r="J56" s="29"/>
      <c r="K56" s="29"/>
      <c r="L56" s="29"/>
      <c r="M56" s="29"/>
      <c r="N56" s="29"/>
      <c r="O56" s="263" t="str">
        <f>VLOOKUP(VLOOKUP($A$5,'Start List'!$J$9:$Q$14,8,FALSE)&amp;A63,Data!$D$2:$H$97,3,FALSE)</f>
        <v/>
      </c>
      <c r="P56" s="266"/>
      <c r="Q56" s="266"/>
      <c r="R56" s="266"/>
      <c r="S56" s="266"/>
      <c r="T56" s="266"/>
      <c r="U56" s="269">
        <f>IF(P54&lt;P56,2,IF(AND(P56=P54,P56&gt;0),1,0))</f>
        <v>0</v>
      </c>
      <c r="V56" s="269">
        <f>IF(Q54&lt;Q56,2,IF(AND(Q56=Q54,Q56&gt;0),1,0))</f>
        <v>0</v>
      </c>
      <c r="W56" s="269">
        <f>IF(R54&lt;R56,2,IF(AND(R56=R54,R56&gt;0),1,0))</f>
        <v>0</v>
      </c>
      <c r="X56" s="269">
        <f>IF(S54&lt;S56,2,IF(AND(S56=S54,S56&gt;0),1,0))</f>
        <v>0</v>
      </c>
      <c r="Y56" s="269">
        <f>IF(T54&lt;T56,2,IF(AND(T56=T54,T56&gt;0),1,0))</f>
        <v>0</v>
      </c>
      <c r="Z56" s="277">
        <f>SUM(U56:Y57)</f>
        <v>0</v>
      </c>
      <c r="AA56" s="17"/>
      <c r="AB56" s="19"/>
      <c r="AC56" s="254"/>
      <c r="AD56" s="295"/>
      <c r="AE56" s="296"/>
      <c r="AF56" s="296"/>
      <c r="AG56" s="296"/>
      <c r="AH56" s="296"/>
      <c r="AI56" s="296"/>
      <c r="AJ56" s="296"/>
      <c r="AK56" s="296"/>
      <c r="AL56" s="296"/>
      <c r="AM56" s="297"/>
      <c r="AN56" s="262"/>
      <c r="AO56" s="14"/>
      <c r="BC56" s="23"/>
      <c r="BM56" s="7">
        <v>7</v>
      </c>
      <c r="BN56" s="7" t="str">
        <f>L59&amp;":"&amp;L61</f>
        <v>0:0</v>
      </c>
      <c r="BO56" s="7" t="str">
        <f>Z56&amp;":"&amp;Z54</f>
        <v>0:0</v>
      </c>
      <c r="BP56" s="7" t="str">
        <f>BP51</f>
        <v>0:0</v>
      </c>
    </row>
    <row r="57" spans="1:68" ht="6.75" customHeight="1" x14ac:dyDescent="0.2">
      <c r="A57" s="254">
        <v>7</v>
      </c>
      <c r="B57" s="255" t="str">
        <f ca="1">IF(A57=" "," ",IFERROR(VLOOKUP(LARGE(INDIRECT(VLOOKUP($A$5,'Start List'!$J$9:$Q$14,5,FALSE)),A57),'Start List'!$B$15:$V$139,3,FALSE),"bye to the next round"))</f>
        <v>bye to the next round</v>
      </c>
      <c r="C57" s="256"/>
      <c r="D57" s="256"/>
      <c r="E57" s="256"/>
      <c r="F57" s="256"/>
      <c r="G57" s="256"/>
      <c r="H57" s="256"/>
      <c r="I57" s="256"/>
      <c r="J57" s="256"/>
      <c r="K57" s="257"/>
      <c r="L57" s="261" t="str">
        <f ca="1">IFERROR(VLOOKUP(LARGE(INDIRECT(VLOOKUP($A$5,'Start List'!$J$9:$Q$14,5,FALSE)),Juniors!A57),'Start List'!$B$15:$V$139,7,FALSE)," ")</f>
        <v xml:space="preserve"> </v>
      </c>
      <c r="M57" s="2"/>
      <c r="N57" s="5"/>
      <c r="O57" s="263"/>
      <c r="P57" s="266"/>
      <c r="Q57" s="266"/>
      <c r="R57" s="266"/>
      <c r="S57" s="266"/>
      <c r="T57" s="266"/>
      <c r="U57" s="269"/>
      <c r="V57" s="269"/>
      <c r="W57" s="269"/>
      <c r="X57" s="269"/>
      <c r="Y57" s="269"/>
      <c r="Z57" s="277"/>
      <c r="AA57" s="18"/>
      <c r="AB57" s="1"/>
      <c r="AO57" s="9"/>
      <c r="AQ57" s="278" t="str">
        <f>VLOOKUP("BMM",Translation!$A$1:$E$57,Data!$AP$2,FALSE)</f>
        <v>Bronze Medal Match</v>
      </c>
      <c r="AR57" s="278"/>
      <c r="AS57" s="278"/>
      <c r="AT57" s="278"/>
      <c r="AU57" s="278"/>
      <c r="AV57" s="278"/>
      <c r="AW57" s="278"/>
      <c r="AX57" s="278"/>
      <c r="AY57" s="278"/>
      <c r="AZ57" s="278"/>
      <c r="BA57" s="278"/>
      <c r="BB57" s="278"/>
      <c r="BC57" s="23"/>
      <c r="BM57" s="7">
        <v>8</v>
      </c>
      <c r="BN57" s="7" t="str">
        <f>L19&amp;":"&amp;L21</f>
        <v>0:0</v>
      </c>
      <c r="BO57" s="7" t="str">
        <f>Z16&amp;":"&amp;Z14</f>
        <v>0:0</v>
      </c>
      <c r="BP57" s="7" t="str">
        <f>BP50</f>
        <v>0:0</v>
      </c>
    </row>
    <row r="58" spans="1:68" ht="6.75" customHeight="1" thickBot="1" x14ac:dyDescent="0.25">
      <c r="A58" s="270"/>
      <c r="B58" s="258"/>
      <c r="C58" s="259"/>
      <c r="D58" s="259"/>
      <c r="E58" s="259"/>
      <c r="F58" s="259"/>
      <c r="G58" s="259"/>
      <c r="H58" s="259"/>
      <c r="I58" s="259"/>
      <c r="J58" s="259"/>
      <c r="K58" s="260"/>
      <c r="L58" s="262"/>
      <c r="M58" s="14"/>
      <c r="AA58" s="9"/>
      <c r="AO58" s="9"/>
      <c r="AQ58" s="278"/>
      <c r="AR58" s="278"/>
      <c r="AS58" s="278"/>
      <c r="AT58" s="278"/>
      <c r="AU58" s="278"/>
      <c r="AV58" s="278"/>
      <c r="AW58" s="278"/>
      <c r="AX58" s="278"/>
      <c r="AY58" s="278"/>
      <c r="AZ58" s="278"/>
      <c r="BA58" s="278"/>
      <c r="BB58" s="278"/>
      <c r="BC58" s="23"/>
      <c r="BM58" s="7">
        <v>9</v>
      </c>
      <c r="BN58" s="7" t="str">
        <f>L21&amp;":"&amp;L19</f>
        <v>0:0</v>
      </c>
      <c r="BO58" s="7" t="str">
        <f>BO57</f>
        <v>0:0</v>
      </c>
      <c r="BP58" s="7" t="str">
        <f>BP50</f>
        <v>0:0</v>
      </c>
    </row>
    <row r="59" spans="1:68" ht="6.75" customHeight="1" thickBot="1" x14ac:dyDescent="0.25">
      <c r="A59" s="263" t="str">
        <f>VLOOKUP(VLOOKUP($A$5,'Start List'!$J$9:$Q$14,8,FALSE)&amp;A57,Data!$D$2:$H$97,2,FALSE)</f>
        <v/>
      </c>
      <c r="B59" s="274"/>
      <c r="C59" s="271"/>
      <c r="D59" s="271"/>
      <c r="E59" s="271"/>
      <c r="F59" s="271"/>
      <c r="G59" s="268">
        <f>IF(B59&gt;B61,2,IF(AND(B61=B59,B59&gt;0),1,0))</f>
        <v>0</v>
      </c>
      <c r="H59" s="268">
        <f>IF(C59&gt;C61,2,IF(AND(C61=C59,C59&gt;0),1,0))</f>
        <v>0</v>
      </c>
      <c r="I59" s="268">
        <f>IF(D59&gt;D61,2,IF(AND(D61=D59,D59&gt;0),1,0))</f>
        <v>0</v>
      </c>
      <c r="J59" s="268">
        <f>IF(E59&gt;E61,2,IF(AND(E61=E59,E59&gt;0),1,0))</f>
        <v>0</v>
      </c>
      <c r="K59" s="268">
        <f>IF(F59&gt;F61,2,IF(AND(F61=F59,F59&gt;0),1,0))</f>
        <v>0</v>
      </c>
      <c r="L59" s="272">
        <f>SUM(G59:K60)</f>
        <v>0</v>
      </c>
      <c r="M59" s="9"/>
      <c r="AA59" s="9"/>
      <c r="AO59" s="9"/>
      <c r="BM59" s="7">
        <v>10</v>
      </c>
      <c r="BN59" s="7" t="str">
        <f>L61&amp;":"&amp;L59</f>
        <v>0:0</v>
      </c>
      <c r="BO59" s="7" t="str">
        <f>BO56</f>
        <v>0:0</v>
      </c>
      <c r="BP59" s="7" t="str">
        <f t="shared" ref="BP59:BP65" si="0">BP51</f>
        <v>0:0</v>
      </c>
    </row>
    <row r="60" spans="1:68" ht="6.75" customHeight="1" x14ac:dyDescent="0.2">
      <c r="A60" s="263"/>
      <c r="B60" s="264"/>
      <c r="C60" s="266"/>
      <c r="D60" s="266"/>
      <c r="E60" s="266"/>
      <c r="F60" s="266"/>
      <c r="G60" s="269"/>
      <c r="H60" s="269"/>
      <c r="I60" s="269"/>
      <c r="J60" s="269"/>
      <c r="K60" s="269"/>
      <c r="L60" s="273"/>
      <c r="M60" s="15"/>
      <c r="O60" s="254">
        <f ca="1">IF(B63="bye to the next round",A57,IF(AND(L59&gt;L61,L59&gt;4),A57,IF(AND(L61&gt;L59,L61&gt;4),A63,IF(AND(L59=5,L61=5),MIN(A57,A63)," "))))</f>
        <v>7</v>
      </c>
      <c r="P60" s="255" t="str">
        <f ca="1">IF(O60=" "," ",IFERROR(VLOOKUP(LARGE(INDIRECT(VLOOKUP($A$5,'Start List'!$J$9:$Q$14,5,FALSE)),O60),'Start List'!$B$15:$V$139,3,FALSE),"bye to the next round"))</f>
        <v>bye to the next round</v>
      </c>
      <c r="Q60" s="256"/>
      <c r="R60" s="256"/>
      <c r="S60" s="256"/>
      <c r="T60" s="256"/>
      <c r="U60" s="256"/>
      <c r="V60" s="256"/>
      <c r="W60" s="256"/>
      <c r="X60" s="256"/>
      <c r="Y60" s="257"/>
      <c r="Z60" s="261" t="str">
        <f ca="1">IFERROR(VLOOKUP(LARGE(INDIRECT(VLOOKUP($A$5,'Start List'!$J$9:$Q$14,5,FALSE)),Juniors!O60),'Start List'!$B$15:$V$139,7,FALSE)," ")</f>
        <v xml:space="preserve"> </v>
      </c>
      <c r="AA60" s="8"/>
      <c r="AO60" s="9"/>
      <c r="AQ60" s="254" t="str">
        <f>IF(AND(AN24&gt;AN26,AN24&gt;4),AC35,IF(AND(AN26&gt;AN24,AN26&gt;4),AC15,IF(AND(AN24=5,AN26=5),MAX(AC15,AC35)," ")))</f>
        <v xml:space="preserve"> </v>
      </c>
      <c r="AR60" s="255" t="str">
        <f ca="1">IF(AQ60=" "," ",IFERROR(VLOOKUP(LARGE(INDIRECT(VLOOKUP($A$5,'Start List'!$J$9:$Q$14,5,FALSE)),AQ60),'Start List'!$B$15:$V$139,3,FALSE),"bye to the next round"))</f>
        <v xml:space="preserve"> </v>
      </c>
      <c r="AS60" s="256"/>
      <c r="AT60" s="256"/>
      <c r="AU60" s="256"/>
      <c r="AV60" s="256"/>
      <c r="AW60" s="256"/>
      <c r="AX60" s="256"/>
      <c r="AY60" s="256"/>
      <c r="AZ60" s="256"/>
      <c r="BA60" s="257"/>
      <c r="BB60" s="261" t="str">
        <f ca="1">IFERROR(VLOOKUP(LARGE(INDIRECT(VLOOKUP($A$5,'Start List'!$J$9:$Q$14,5,FALSE)),Juniors!AQ60),'Start List'!$B$15:$V$139,7,FALSE)," ")</f>
        <v xml:space="preserve"> </v>
      </c>
      <c r="BC60" s="16"/>
      <c r="BM60" s="7">
        <v>11</v>
      </c>
      <c r="BN60" s="7" t="str">
        <f>L81&amp;":"&amp;L79</f>
        <v>0:0</v>
      </c>
      <c r="BO60" s="7" t="str">
        <f>BO55</f>
        <v>0:0</v>
      </c>
      <c r="BP60" s="7" t="str">
        <f t="shared" si="0"/>
        <v>0:0</v>
      </c>
    </row>
    <row r="61" spans="1:68" ht="6.75" customHeight="1" thickBot="1" x14ac:dyDescent="0.25">
      <c r="A61" s="263" t="str">
        <f>VLOOKUP(VLOOKUP($A$5,'Start List'!$J$9:$Q$14,8,FALSE)&amp;A63,Data!$D$2:$H$97,2,FALSE)</f>
        <v/>
      </c>
      <c r="B61" s="264"/>
      <c r="C61" s="266"/>
      <c r="D61" s="266"/>
      <c r="E61" s="266"/>
      <c r="F61" s="266"/>
      <c r="G61" s="268">
        <f>IF(B59&lt;B61,2,IF(AND(B61=B59,B61&gt;0),1,0))</f>
        <v>0</v>
      </c>
      <c r="H61" s="268">
        <f>IF(C59&lt;C61,2,IF(AND(C61=C59,C61&gt;0),1,0))</f>
        <v>0</v>
      </c>
      <c r="I61" s="268">
        <f>IF(D59&lt;D61,2,IF(AND(D61=D59,D61&gt;0),1,0))</f>
        <v>0</v>
      </c>
      <c r="J61" s="268">
        <f>IF(E59&lt;E61,2,IF(AND(E61=E59,E61&gt;0),1,0))</f>
        <v>0</v>
      </c>
      <c r="K61" s="268">
        <f>IF(F59&lt;F61,2,IF(AND(F61=F59,F61&gt;0),1,0))</f>
        <v>0</v>
      </c>
      <c r="L61" s="272">
        <f>SUM(G61:K62)</f>
        <v>0</v>
      </c>
      <c r="M61" s="15"/>
      <c r="N61" s="10"/>
      <c r="O61" s="254"/>
      <c r="P61" s="258"/>
      <c r="Q61" s="259"/>
      <c r="R61" s="259"/>
      <c r="S61" s="259"/>
      <c r="T61" s="259"/>
      <c r="U61" s="259"/>
      <c r="V61" s="259"/>
      <c r="W61" s="259"/>
      <c r="X61" s="259"/>
      <c r="Y61" s="260"/>
      <c r="Z61" s="262"/>
      <c r="AA61" s="13"/>
      <c r="AO61" s="9"/>
      <c r="AQ61" s="254"/>
      <c r="AR61" s="258"/>
      <c r="AS61" s="259"/>
      <c r="AT61" s="259"/>
      <c r="AU61" s="259"/>
      <c r="AV61" s="259"/>
      <c r="AW61" s="259"/>
      <c r="AX61" s="259"/>
      <c r="AY61" s="259"/>
      <c r="AZ61" s="259"/>
      <c r="BA61" s="260"/>
      <c r="BB61" s="262"/>
      <c r="BC61" s="9"/>
      <c r="BM61" s="7">
        <v>12</v>
      </c>
      <c r="BN61" s="7" t="str">
        <f>L41&amp;":"&amp;L39</f>
        <v>0:0</v>
      </c>
      <c r="BO61" s="7" t="str">
        <f>BO54</f>
        <v>0:0</v>
      </c>
      <c r="BP61" s="7" t="str">
        <f t="shared" si="0"/>
        <v>0:0</v>
      </c>
    </row>
    <row r="62" spans="1:68" ht="6.75" customHeight="1" thickBot="1" x14ac:dyDescent="0.25">
      <c r="A62" s="263"/>
      <c r="B62" s="265"/>
      <c r="C62" s="267"/>
      <c r="D62" s="267"/>
      <c r="E62" s="267"/>
      <c r="F62" s="267"/>
      <c r="G62" s="269"/>
      <c r="H62" s="269"/>
      <c r="I62" s="269"/>
      <c r="J62" s="269"/>
      <c r="K62" s="269"/>
      <c r="L62" s="273"/>
      <c r="M62" s="15"/>
      <c r="O62" s="7"/>
      <c r="AO62" s="9"/>
      <c r="BC62" s="26"/>
      <c r="BD62" s="5"/>
      <c r="BM62" s="7">
        <v>13</v>
      </c>
      <c r="BN62" s="7" t="str">
        <f>L31&amp;":"&amp;L29</f>
        <v>0:0</v>
      </c>
      <c r="BO62" s="7" t="str">
        <f>BO53</f>
        <v>0:0</v>
      </c>
      <c r="BP62" s="7" t="str">
        <f t="shared" si="0"/>
        <v>0:0</v>
      </c>
    </row>
    <row r="63" spans="1:68" ht="6.75" customHeight="1" x14ac:dyDescent="0.2">
      <c r="A63" s="254">
        <v>10</v>
      </c>
      <c r="B63" s="255" t="str">
        <f ca="1">IF(A63=" "," ",IFERROR(VLOOKUP(LARGE(INDIRECT(VLOOKUP($A$5,'Start List'!$J$9:$Q$14,5,FALSE)),A63),'Start List'!$B$15:$V$139,3,FALSE),"bye to the next round"))</f>
        <v>bye to the next round</v>
      </c>
      <c r="C63" s="256"/>
      <c r="D63" s="256"/>
      <c r="E63" s="256"/>
      <c r="F63" s="256"/>
      <c r="G63" s="256"/>
      <c r="H63" s="256"/>
      <c r="I63" s="256"/>
      <c r="J63" s="256"/>
      <c r="K63" s="257"/>
      <c r="L63" s="261" t="str">
        <f ca="1">IFERROR(VLOOKUP(LARGE(INDIRECT(VLOOKUP($A$5,'Start List'!$J$9:$Q$14,5,FALSE)),Juniors!A63),'Start List'!$B$15:$V$139,7,FALSE)," ")</f>
        <v xml:space="preserve"> </v>
      </c>
      <c r="M63" s="8"/>
      <c r="O63" s="7"/>
      <c r="AO63" s="9"/>
      <c r="BC63" s="9"/>
      <c r="BM63" s="7">
        <v>14</v>
      </c>
      <c r="BN63" s="7" t="str">
        <f>L71&amp;":"&amp;L69</f>
        <v>0:0</v>
      </c>
      <c r="BO63" s="7" t="str">
        <f>BO52</f>
        <v>0:0</v>
      </c>
      <c r="BP63" s="7" t="str">
        <f t="shared" si="0"/>
        <v>0:0</v>
      </c>
    </row>
    <row r="64" spans="1:68" ht="6.75" customHeight="1" thickBot="1" x14ac:dyDescent="0.25">
      <c r="A64" s="254"/>
      <c r="B64" s="258"/>
      <c r="C64" s="259"/>
      <c r="D64" s="259"/>
      <c r="E64" s="259"/>
      <c r="F64" s="259"/>
      <c r="G64" s="259"/>
      <c r="H64" s="259"/>
      <c r="I64" s="259"/>
      <c r="J64" s="259"/>
      <c r="K64" s="260"/>
      <c r="L64" s="262"/>
      <c r="M64" s="13"/>
      <c r="AC64" s="263">
        <f>VLOOKUP(VLOOKUP($A$5,'Start List'!$J$9:$Q$14,8,FALSE)&amp;A47,Data!$D$2:$H$97,4,FALSE)</f>
        <v>17</v>
      </c>
      <c r="AD64" s="266"/>
      <c r="AE64" s="266"/>
      <c r="AF64" s="266"/>
      <c r="AG64" s="266"/>
      <c r="AH64" s="266"/>
      <c r="AI64" s="269">
        <f>IF(AD64&gt;AD66,2,IF(AND(AD66=AD64,AD64&gt;0),1,0))</f>
        <v>0</v>
      </c>
      <c r="AJ64" s="269">
        <f>IF(AE64&gt;AE66,2,IF(AND(AE66=AE64,AE64&gt;0),1,0))</f>
        <v>0</v>
      </c>
      <c r="AK64" s="269">
        <f>IF(AF64&gt;AF66,2,IF(AND(AF66=AF64,AF64&gt;0),1,0))</f>
        <v>0</v>
      </c>
      <c r="AL64" s="269">
        <f>IF(AG64&gt;AG66,2,IF(AND(AG66=AG64,AG64&gt;0),1,0))</f>
        <v>0</v>
      </c>
      <c r="AM64" s="269">
        <f>IF(AH64&gt;AH66,2,IF(AND(AH66=AH64,AH64&gt;0),1,0))</f>
        <v>0</v>
      </c>
      <c r="AN64" s="277">
        <f>SUM(AI64:AM65)</f>
        <v>0</v>
      </c>
      <c r="AO64" s="9"/>
      <c r="AQ64" s="263">
        <f>VLOOKUP(VLOOKUP($A$5,'Start List'!$J$9:$Q$14,8,FALSE)&amp;A7,Data!$D$2:$H$97,5,FALSE)</f>
        <v>2</v>
      </c>
      <c r="AR64" s="266"/>
      <c r="AS64" s="266"/>
      <c r="AT64" s="266"/>
      <c r="AU64" s="266"/>
      <c r="AV64" s="266"/>
      <c r="AW64" s="269">
        <f>IF(AR64&gt;AR66,2,IF(AND(AR66=AR64,AR64&gt;0),1,0))</f>
        <v>0</v>
      </c>
      <c r="AX64" s="269">
        <f>IF(AS64&gt;AS66,2,IF(AND(AS66=AS64,AS64&gt;0),1,0))</f>
        <v>0</v>
      </c>
      <c r="AY64" s="269">
        <f>IF(AT64&gt;AT66,2,IF(AND(AT66=AT64,AT64&gt;0),1,0))</f>
        <v>0</v>
      </c>
      <c r="AZ64" s="269">
        <f>IF(AU64&gt;AU66,2,IF(AND(AU66=AU64,AU64&gt;0),1,0))</f>
        <v>0</v>
      </c>
      <c r="BA64" s="269">
        <f>IF(AV64&gt;AV66,2,IF(AND(AV66=AV64,AV64&gt;0),1,0))</f>
        <v>0</v>
      </c>
      <c r="BB64" s="277">
        <f>SUM(AW64:BA65)</f>
        <v>0</v>
      </c>
      <c r="BC64" s="9"/>
      <c r="BM64" s="7">
        <v>15</v>
      </c>
      <c r="BN64" s="7" t="str">
        <f>L51&amp;":"&amp;L49</f>
        <v>0:0</v>
      </c>
      <c r="BO64" s="7" t="str">
        <f>BO51</f>
        <v>0:0</v>
      </c>
      <c r="BP64" s="7" t="str">
        <f t="shared" si="0"/>
        <v>0:0</v>
      </c>
    </row>
    <row r="65" spans="1:72" ht="6.75" customHeight="1" x14ac:dyDescent="0.2">
      <c r="A65" s="30"/>
      <c r="AC65" s="263"/>
      <c r="AD65" s="266"/>
      <c r="AE65" s="266"/>
      <c r="AF65" s="266"/>
      <c r="AG65" s="266"/>
      <c r="AH65" s="266"/>
      <c r="AI65" s="269"/>
      <c r="AJ65" s="269"/>
      <c r="AK65" s="269"/>
      <c r="AL65" s="269"/>
      <c r="AM65" s="269"/>
      <c r="AN65" s="277"/>
      <c r="AO65" s="9"/>
      <c r="AQ65" s="263"/>
      <c r="AR65" s="266"/>
      <c r="AS65" s="266"/>
      <c r="AT65" s="266"/>
      <c r="AU65" s="266"/>
      <c r="AV65" s="266"/>
      <c r="AW65" s="269"/>
      <c r="AX65" s="269"/>
      <c r="AY65" s="269"/>
      <c r="AZ65" s="269"/>
      <c r="BA65" s="269"/>
      <c r="BB65" s="277"/>
      <c r="BC65" s="15"/>
      <c r="BE65" s="254" t="str">
        <f>IF(AND(BB64&gt;BB66,BB64&gt;4),AQ60,IF(AND(BB66&gt;BB64,BB66&gt;4),AQ70,IF(AND(BB64=5,BB66=5),MIN(AQ60,AQ70)," ")))</f>
        <v xml:space="preserve"> </v>
      </c>
      <c r="BF65" s="279" t="str">
        <f ca="1">IF(BE65=" "," ",IFERROR(VLOOKUP(LARGE(INDIRECT(VLOOKUP($A$5,'Start List'!$J$9:$Q$14,5,FALSE)),BE65),'Start List'!$B$15:$V$139,3,FALSE),"bye to the next round"))</f>
        <v xml:space="preserve"> </v>
      </c>
      <c r="BG65" s="256"/>
      <c r="BH65" s="256"/>
      <c r="BI65" s="256"/>
      <c r="BJ65" s="257"/>
      <c r="BK65" s="261" t="str">
        <f ca="1">IFERROR(VLOOKUP(LARGE(INDIRECT(VLOOKUP($A$5,'Start List'!$J$9:$Q$14,5,FALSE)),BE65),'Start List'!$B$15:$V$139,7,FALSE)," ")</f>
        <v xml:space="preserve"> </v>
      </c>
      <c r="BM65" s="7">
        <v>16</v>
      </c>
      <c r="BN65" s="7" t="str">
        <f>L11&amp;":"&amp;L9</f>
        <v>0:0</v>
      </c>
      <c r="BO65" s="7" t="str">
        <f>BO50</f>
        <v>0:0</v>
      </c>
      <c r="BP65" s="7" t="str">
        <f t="shared" si="0"/>
        <v>0:0</v>
      </c>
    </row>
    <row r="66" spans="1:72" ht="6.75" customHeight="1" thickBo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63">
        <f>VLOOKUP(VLOOKUP($A$5,'Start List'!$J$9:$Q$14,8,FALSE)&amp;A83,Data!$D$2:$H$97,4,FALSE)</f>
        <v>18</v>
      </c>
      <c r="AD66" s="266"/>
      <c r="AE66" s="266"/>
      <c r="AF66" s="266"/>
      <c r="AG66" s="266"/>
      <c r="AH66" s="266"/>
      <c r="AI66" s="269">
        <f>IF(AD64&lt;AD66,2,IF(AND(AD66=AD64,AD66&gt;0),1,0))</f>
        <v>0</v>
      </c>
      <c r="AJ66" s="269">
        <f>IF(AE64&lt;AE66,2,IF(AND(AE66=AE64,AE66&gt;0),1,0))</f>
        <v>0</v>
      </c>
      <c r="AK66" s="269">
        <f>IF(AF64&lt;AF66,2,IF(AND(AF66=AF64,AF66&gt;0),1,0))</f>
        <v>0</v>
      </c>
      <c r="AL66" s="269">
        <f>IF(AG64&lt;AG66,2,IF(AND(AG66=AG64,AG66&gt;0),1,0))</f>
        <v>0</v>
      </c>
      <c r="AM66" s="269">
        <f>IF(AH64&lt;AH66,2,IF(AND(AH66=AH64,AH66&gt;0),1,0))</f>
        <v>0</v>
      </c>
      <c r="AN66" s="277">
        <f>SUM(AI66:AM67)</f>
        <v>0</v>
      </c>
      <c r="AO66" s="9"/>
      <c r="AP66" s="24"/>
      <c r="AQ66" s="263">
        <f>VLOOKUP(VLOOKUP($A$5,'Start List'!$J$9:$Q$14,8,FALSE)&amp;A47,Data!$D$2:$H$97,5,FALSE)</f>
        <v>3</v>
      </c>
      <c r="AR66" s="266"/>
      <c r="AS66" s="266"/>
      <c r="AT66" s="266"/>
      <c r="AU66" s="266"/>
      <c r="AV66" s="266"/>
      <c r="AW66" s="269">
        <f>IF(AR64&lt;AR66,2,IF(AND(AR66=AR64,AR66&gt;0),1,0))</f>
        <v>0</v>
      </c>
      <c r="AX66" s="269">
        <f>IF(AS64&lt;AS66,2,IF(AND(AS66=AS64,AS66&gt;0),1,0))</f>
        <v>0</v>
      </c>
      <c r="AY66" s="269">
        <f>IF(AT64&lt;AT66,2,IF(AND(AT66=AT64,AT66&gt;0),1,0))</f>
        <v>0</v>
      </c>
      <c r="AZ66" s="269">
        <f>IF(AU64&lt;AU66,2,IF(AND(AU66=AU64,AU66&gt;0),1,0))</f>
        <v>0</v>
      </c>
      <c r="BA66" s="269">
        <f>IF(AV64&lt;AV66,2,IF(AND(AV66=AV64,AV66&gt;0),1,0))</f>
        <v>0</v>
      </c>
      <c r="BB66" s="277">
        <f>SUM(AW66:BA67)</f>
        <v>0</v>
      </c>
      <c r="BC66" s="15"/>
      <c r="BD66" s="10"/>
      <c r="BE66" s="254"/>
      <c r="BF66" s="258"/>
      <c r="BG66" s="259"/>
      <c r="BH66" s="259"/>
      <c r="BI66" s="259"/>
      <c r="BJ66" s="260"/>
      <c r="BK66" s="262"/>
    </row>
    <row r="67" spans="1:72" ht="6.75" customHeight="1" x14ac:dyDescent="0.2">
      <c r="A67" s="254">
        <v>3</v>
      </c>
      <c r="B67" s="255" t="str">
        <f ca="1">IF(A67=" "," ",IFERROR(VLOOKUP(LARGE(INDIRECT(VLOOKUP($A$5,'Start List'!$J$9:$Q$14,5,FALSE)),A67),'Start List'!$B$15:$V$139,3,FALSE),"bye to the next round"))</f>
        <v>Andrés Lukáš</v>
      </c>
      <c r="C67" s="256"/>
      <c r="D67" s="256"/>
      <c r="E67" s="256"/>
      <c r="F67" s="256"/>
      <c r="G67" s="256"/>
      <c r="H67" s="256"/>
      <c r="I67" s="256"/>
      <c r="J67" s="256"/>
      <c r="K67" s="257"/>
      <c r="L67" s="261" t="str">
        <f ca="1">IFERROR(VLOOKUP(LARGE(INDIRECT(VLOOKUP($A$5,'Start List'!$J$9:$Q$14,5,FALSE)),Juniors!A67),'Start List'!$B$15:$V$139,7,FALSE)," ")</f>
        <v xml:space="preserve"> </v>
      </c>
      <c r="M67" s="2"/>
      <c r="N67" s="5"/>
      <c r="O67" s="11"/>
      <c r="P67" s="1"/>
      <c r="Q67" s="1"/>
      <c r="R67" s="1"/>
      <c r="S67" s="1"/>
      <c r="T67" s="1"/>
      <c r="U67" s="1"/>
      <c r="V67" s="1"/>
      <c r="W67" s="1"/>
      <c r="X67" s="1"/>
      <c r="Y67" s="1"/>
      <c r="Z67" s="1"/>
      <c r="AA67" s="1"/>
      <c r="AB67" s="1"/>
      <c r="AC67" s="263"/>
      <c r="AD67" s="266"/>
      <c r="AE67" s="266"/>
      <c r="AF67" s="266"/>
      <c r="AG67" s="266"/>
      <c r="AH67" s="266"/>
      <c r="AI67" s="269"/>
      <c r="AJ67" s="269"/>
      <c r="AK67" s="269"/>
      <c r="AL67" s="269"/>
      <c r="AM67" s="269"/>
      <c r="AN67" s="277"/>
      <c r="AO67" s="9"/>
      <c r="AQ67" s="263"/>
      <c r="AR67" s="266"/>
      <c r="AS67" s="266"/>
      <c r="AT67" s="266"/>
      <c r="AU67" s="266"/>
      <c r="AV67" s="266"/>
      <c r="AW67" s="269"/>
      <c r="AX67" s="269"/>
      <c r="AY67" s="269"/>
      <c r="AZ67" s="269"/>
      <c r="BA67" s="269"/>
      <c r="BB67" s="277"/>
      <c r="BC67" s="15"/>
    </row>
    <row r="68" spans="1:72" ht="6.75" customHeight="1" thickBot="1" x14ac:dyDescent="0.25">
      <c r="A68" s="270"/>
      <c r="B68" s="258"/>
      <c r="C68" s="259"/>
      <c r="D68" s="259"/>
      <c r="E68" s="259"/>
      <c r="F68" s="259"/>
      <c r="G68" s="259"/>
      <c r="H68" s="259"/>
      <c r="I68" s="259"/>
      <c r="J68" s="259"/>
      <c r="K68" s="260"/>
      <c r="L68" s="262"/>
      <c r="M68" s="14"/>
      <c r="AO68" s="9"/>
      <c r="AQ68" s="23"/>
      <c r="BC68" s="9"/>
    </row>
    <row r="69" spans="1:72" ht="6.75" customHeight="1" thickBot="1" x14ac:dyDescent="0.25">
      <c r="A69" s="263" t="str">
        <f>VLOOKUP(VLOOKUP($A$5,'Start List'!$J$9:$Q$14,8,FALSE)&amp;A67,Data!$D$2:$H$97,2,FALSE)</f>
        <v/>
      </c>
      <c r="B69" s="274"/>
      <c r="C69" s="271"/>
      <c r="D69" s="271"/>
      <c r="E69" s="271"/>
      <c r="F69" s="271"/>
      <c r="G69" s="268">
        <f>IF(B69&gt;B71,2,IF(AND(B71=B69,B69&gt;0),1,0))</f>
        <v>0</v>
      </c>
      <c r="H69" s="268">
        <f>IF(C69&gt;C71,2,IF(AND(C71=C69,C69&gt;0),1,0))</f>
        <v>0</v>
      </c>
      <c r="I69" s="268">
        <f>IF(D69&gt;D71,2,IF(AND(D71=D69,D69&gt;0),1,0))</f>
        <v>0</v>
      </c>
      <c r="J69" s="268">
        <f>IF(E69&gt;E71,2,IF(AND(E71=E69,E69&gt;0),1,0))</f>
        <v>0</v>
      </c>
      <c r="K69" s="268">
        <f>IF(F69&gt;F71,2,IF(AND(F71=F69,F69&gt;0),1,0))</f>
        <v>0</v>
      </c>
      <c r="L69" s="272">
        <f>SUM(G69:K70)</f>
        <v>0</v>
      </c>
      <c r="M69" s="9"/>
      <c r="AO69" s="9"/>
      <c r="BC69" s="9"/>
      <c r="BE69" s="3"/>
    </row>
    <row r="70" spans="1:72" ht="6.75" customHeight="1" x14ac:dyDescent="0.2">
      <c r="A70" s="263"/>
      <c r="B70" s="264"/>
      <c r="C70" s="266"/>
      <c r="D70" s="266"/>
      <c r="E70" s="266"/>
      <c r="F70" s="266"/>
      <c r="G70" s="269"/>
      <c r="H70" s="269"/>
      <c r="I70" s="269"/>
      <c r="J70" s="269"/>
      <c r="K70" s="269"/>
      <c r="L70" s="273"/>
      <c r="M70" s="15"/>
      <c r="O70" s="254">
        <f ca="1">IF(B73="bye to the next round",A67,IF(AND(L69&gt;L71,L69&gt;4),A67,IF(AND(L71&gt;L69,L71&gt;4),A73,IF(AND(L69=5,L71=5),MIN(A67,A73)," "))))</f>
        <v>3</v>
      </c>
      <c r="P70" s="255" t="str">
        <f ca="1">IF(O70=" "," ",IFERROR(VLOOKUP(LARGE(INDIRECT(VLOOKUP($A$5,'Start List'!$J$9:$Q$14,5,FALSE)),O70),'Start List'!$B$15:$V$139,3,FALSE),"bye to the next round"))</f>
        <v>Andrés Lukáš</v>
      </c>
      <c r="Q70" s="256"/>
      <c r="R70" s="256"/>
      <c r="S70" s="256"/>
      <c r="T70" s="256"/>
      <c r="U70" s="256"/>
      <c r="V70" s="256"/>
      <c r="W70" s="256"/>
      <c r="X70" s="256"/>
      <c r="Y70" s="257"/>
      <c r="Z70" s="261" t="str">
        <f ca="1">IFERROR(VLOOKUP(LARGE(INDIRECT(VLOOKUP($A$5,'Start List'!$J$9:$Q$14,5,FALSE)),Juniors!O70),'Start List'!$B$15:$V$139,7,FALSE)," ")</f>
        <v xml:space="preserve"> </v>
      </c>
      <c r="AA70" s="16"/>
      <c r="AO70" s="9"/>
      <c r="AQ70" s="254" t="str">
        <f>IF(AND(AN64&gt;AN66,AN64&gt;4),AC75,IF(AND(AN66&gt;AN64,AN66&gt;4),AC55,IF(AND(AN64=5,AN66=5),MAX(AC55,AC75)," ")))</f>
        <v xml:space="preserve"> </v>
      </c>
      <c r="AR70" s="255" t="str">
        <f ca="1">IF(AQ70=" "," ",IFERROR(VLOOKUP(LARGE(INDIRECT(VLOOKUP($A$5,'Start List'!$J$9:$Q$14,5,FALSE)),AQ70),'Start List'!$B$15:$V$139,3,FALSE),"bye to the next round"))</f>
        <v xml:space="preserve"> </v>
      </c>
      <c r="AS70" s="256"/>
      <c r="AT70" s="256"/>
      <c r="AU70" s="256"/>
      <c r="AV70" s="256"/>
      <c r="AW70" s="256"/>
      <c r="AX70" s="256"/>
      <c r="AY70" s="256"/>
      <c r="AZ70" s="256"/>
      <c r="BA70" s="257"/>
      <c r="BB70" s="261" t="str">
        <f ca="1">IFERROR(VLOOKUP(LARGE(INDIRECT(VLOOKUP($A$5,'Start List'!$J$9:$Q$14,5,FALSE)),Juniors!AQ70),'Start List'!$B$15:$V$139,7,FALSE)," ")</f>
        <v xml:space="preserve"> </v>
      </c>
      <c r="BC70" s="8"/>
    </row>
    <row r="71" spans="1:72" ht="6.75" customHeight="1" thickBot="1" x14ac:dyDescent="0.25">
      <c r="A71" s="263" t="str">
        <f>VLOOKUP(VLOOKUP($A$5,'Start List'!$J$9:$Q$14,8,FALSE)&amp;A73,Data!$D$2:$H$97,2,FALSE)</f>
        <v/>
      </c>
      <c r="B71" s="264"/>
      <c r="C71" s="266"/>
      <c r="D71" s="266"/>
      <c r="E71" s="266"/>
      <c r="F71" s="266"/>
      <c r="G71" s="268">
        <f>IF(B69&lt;B71,2,IF(AND(B71=B69,B71&gt;0),1,0))</f>
        <v>0</v>
      </c>
      <c r="H71" s="268">
        <f>IF(C69&lt;C71,2,IF(AND(C71=C69,C71&gt;0),1,0))</f>
        <v>0</v>
      </c>
      <c r="I71" s="268">
        <f>IF(D69&lt;D71,2,IF(AND(D71=D69,D71&gt;0),1,0))</f>
        <v>0</v>
      </c>
      <c r="J71" s="268">
        <f>IF(E69&lt;E71,2,IF(AND(E71=E69,E71&gt;0),1,0))</f>
        <v>0</v>
      </c>
      <c r="K71" s="268">
        <f>IF(F69&lt;F71,2,IF(AND(F71=F69,F71&gt;0),1,0))</f>
        <v>0</v>
      </c>
      <c r="L71" s="272">
        <f>SUM(G71:K72)</f>
        <v>0</v>
      </c>
      <c r="M71" s="15"/>
      <c r="N71" s="10"/>
      <c r="O71" s="254"/>
      <c r="P71" s="258"/>
      <c r="Q71" s="259"/>
      <c r="R71" s="259"/>
      <c r="S71" s="259"/>
      <c r="T71" s="259"/>
      <c r="U71" s="259"/>
      <c r="V71" s="259"/>
      <c r="W71" s="259"/>
      <c r="X71" s="259"/>
      <c r="Y71" s="260"/>
      <c r="Z71" s="262"/>
      <c r="AA71" s="12"/>
      <c r="AO71" s="9"/>
      <c r="AQ71" s="254"/>
      <c r="AR71" s="258"/>
      <c r="AS71" s="259"/>
      <c r="AT71" s="259"/>
      <c r="AU71" s="259"/>
      <c r="AV71" s="259"/>
      <c r="AW71" s="259"/>
      <c r="AX71" s="259"/>
      <c r="AY71" s="259"/>
      <c r="AZ71" s="259"/>
      <c r="BA71" s="260"/>
      <c r="BB71" s="262"/>
      <c r="BC71" s="13"/>
    </row>
    <row r="72" spans="1:72" ht="6.75" customHeight="1" thickBot="1" x14ac:dyDescent="0.25">
      <c r="A72" s="263"/>
      <c r="B72" s="265"/>
      <c r="C72" s="267"/>
      <c r="D72" s="267"/>
      <c r="E72" s="267"/>
      <c r="F72" s="267"/>
      <c r="G72" s="269"/>
      <c r="H72" s="269"/>
      <c r="I72" s="269"/>
      <c r="J72" s="269"/>
      <c r="K72" s="269"/>
      <c r="L72" s="273"/>
      <c r="M72" s="15"/>
      <c r="O72" s="7"/>
      <c r="AA72" s="9"/>
      <c r="AO72" s="9"/>
    </row>
    <row r="73" spans="1:72" ht="6.75" customHeight="1" x14ac:dyDescent="0.2">
      <c r="A73" s="254">
        <v>14</v>
      </c>
      <c r="B73" s="255" t="str">
        <f ca="1">IF(A73=" "," ",IFERROR(VLOOKUP(LARGE(INDIRECT(VLOOKUP($A$5,'Start List'!$J$9:$Q$14,5,FALSE)),A73),'Start List'!$B$15:$V$139,3,FALSE),"bye to the next round"))</f>
        <v>bye to the next round</v>
      </c>
      <c r="C73" s="256"/>
      <c r="D73" s="256"/>
      <c r="E73" s="256"/>
      <c r="F73" s="256"/>
      <c r="G73" s="256"/>
      <c r="H73" s="256"/>
      <c r="I73" s="256"/>
      <c r="J73" s="256"/>
      <c r="K73" s="257"/>
      <c r="L73" s="261" t="str">
        <f ca="1">IFERROR(VLOOKUP(LARGE(INDIRECT(VLOOKUP($A$5,'Start List'!$J$9:$Q$14,5,FALSE)),Juniors!A73),'Start List'!$B$15:$V$139,7,FALSE)," ")</f>
        <v xml:space="preserve"> </v>
      </c>
      <c r="M73" s="8"/>
      <c r="O73" s="7"/>
      <c r="AA73" s="9"/>
      <c r="AO73" s="9"/>
      <c r="BM73" s="200">
        <v>1</v>
      </c>
      <c r="BN73" s="200" t="str">
        <f ca="1">IF($BF$42&lt;&gt;" ",VLOOKUP(LARGE(INDIRECT(VLOOKUP($A$5,'Start List'!$J$9:$Q$14,5,FALSE)),BO73),'Start List'!$B$15:$V$139,3,FALSE),"")</f>
        <v/>
      </c>
      <c r="BO73" s="201" t="str">
        <f>BE25</f>
        <v xml:space="preserve"> </v>
      </c>
      <c r="BP73" s="202" t="e">
        <f t="shared" ref="BP73:BP88" si="1">VLOOKUP(BO73,$BM$50:$BP$65,2,FALSE)</f>
        <v>#N/A</v>
      </c>
      <c r="BQ73" s="202" t="e">
        <f t="shared" ref="BQ73:BQ80" si="2">VLOOKUP(BO73,$BM$50:$BP$65,3,FALSE)</f>
        <v>#N/A</v>
      </c>
      <c r="BR73" s="202" t="e">
        <f>VLOOKUP(BO73,$BM$50:$BP$65,4,FALSE)</f>
        <v>#N/A</v>
      </c>
      <c r="BS73" s="200" t="str">
        <f>LARGE($BB$24:$BB$27,1)&amp;":"&amp;SMALL($BB$24:$BB$27,1)</f>
        <v>0:0</v>
      </c>
      <c r="BT73" s="200"/>
    </row>
    <row r="74" spans="1:72" ht="6.75" customHeight="1" thickBot="1" x14ac:dyDescent="0.25">
      <c r="A74" s="254"/>
      <c r="B74" s="258"/>
      <c r="C74" s="259"/>
      <c r="D74" s="259"/>
      <c r="E74" s="259"/>
      <c r="F74" s="259"/>
      <c r="G74" s="259"/>
      <c r="H74" s="259"/>
      <c r="I74" s="259"/>
      <c r="J74" s="259"/>
      <c r="K74" s="260"/>
      <c r="L74" s="262"/>
      <c r="M74" s="13"/>
      <c r="O74" s="263" t="str">
        <f>VLOOKUP(VLOOKUP($A$5,'Start List'!$J$9:$Q$14,8,FALSE)&amp;A67,Data!$D$2:$H$97,3,FALSE)</f>
        <v/>
      </c>
      <c r="P74" s="266"/>
      <c r="Q74" s="266"/>
      <c r="R74" s="266"/>
      <c r="S74" s="266"/>
      <c r="T74" s="266"/>
      <c r="U74" s="269">
        <f>IF(P74&gt;P76,2,IF(AND(P76=P74,P74&gt;0),1,0))</f>
        <v>0</v>
      </c>
      <c r="V74" s="269">
        <f>IF(Q74&gt;Q76,2,IF(AND(Q76=Q74,Q74&gt;0),1,0))</f>
        <v>0</v>
      </c>
      <c r="W74" s="269">
        <f>IF(R74&gt;R76,2,IF(AND(R76=R74,R74&gt;0),1,0))</f>
        <v>0</v>
      </c>
      <c r="X74" s="269">
        <f>IF(S74&gt;S76,2,IF(AND(S76=S74,S74&gt;0),1,0))</f>
        <v>0</v>
      </c>
      <c r="Y74" s="269">
        <f>IF(T74&gt;T76,2,IF(AND(T76=T74,T74&gt;0),1,0))</f>
        <v>0</v>
      </c>
      <c r="Z74" s="277">
        <f>SUM(U74:Y75)</f>
        <v>0</v>
      </c>
      <c r="AA74" s="9"/>
      <c r="AO74" s="9"/>
      <c r="BM74" s="200">
        <v>2</v>
      </c>
      <c r="BN74" s="200" t="str">
        <f ca="1">IF($BF$42&lt;&gt;" ",VLOOKUP(LARGE(INDIRECT(VLOOKUP($A$5,'Start List'!$J$9:$Q$14,5,FALSE)),BO74),'Start List'!$B$15:$V$139,3,FALSE),"")</f>
        <v/>
      </c>
      <c r="BO74" s="201" t="str">
        <f>IF(AQ20=BE25,AQ30,AQ20)</f>
        <v xml:space="preserve"> </v>
      </c>
      <c r="BP74" s="202" t="e">
        <f t="shared" si="1"/>
        <v>#N/A</v>
      </c>
      <c r="BQ74" s="202" t="e">
        <f t="shared" si="2"/>
        <v>#N/A</v>
      </c>
      <c r="BR74" s="202" t="e">
        <f t="shared" ref="BR74:BR76" si="3">VLOOKUP(BO74,$BM$50:$BP$65,4,FALSE)</f>
        <v>#N/A</v>
      </c>
      <c r="BS74" s="200" t="str">
        <f>SMALL($BB$24:$BB$27,1)&amp;":"&amp;LARGE($BB$24:$BB$27,1)</f>
        <v>0:0</v>
      </c>
      <c r="BT74" s="200"/>
    </row>
    <row r="75" spans="1:72" ht="6.75" customHeight="1" x14ac:dyDescent="0.2">
      <c r="A75" s="30"/>
      <c r="O75" s="263"/>
      <c r="P75" s="266"/>
      <c r="Q75" s="266"/>
      <c r="R75" s="266"/>
      <c r="S75" s="266"/>
      <c r="T75" s="266"/>
      <c r="U75" s="269"/>
      <c r="V75" s="269"/>
      <c r="W75" s="269"/>
      <c r="X75" s="269"/>
      <c r="Y75" s="269"/>
      <c r="Z75" s="277"/>
      <c r="AA75" s="9"/>
      <c r="AC75" s="254">
        <f ca="1">IF(P80="bye to the next round",O70,IF(AND(Z74&gt;Z76,Z74&gt;4),O70,IF(AND(Z76&gt;Z74,Z76&gt;4),O80,IF(AND(Z74=5,Z76=5),MIN(O70,O80)," "))))</f>
        <v>3</v>
      </c>
      <c r="AD75" s="292" t="str">
        <f ca="1">IF(AC75=" "," ",IFERROR(VLOOKUP(LARGE(INDIRECT(VLOOKUP($A$5,'Start List'!$J$9:$Q$14,5,FALSE)),AC75),'Start List'!$B$15:$V$139,3,FALSE),"bye to the next round"))</f>
        <v>Andrés Lukáš</v>
      </c>
      <c r="AE75" s="293"/>
      <c r="AF75" s="293"/>
      <c r="AG75" s="293"/>
      <c r="AH75" s="293"/>
      <c r="AI75" s="293"/>
      <c r="AJ75" s="293"/>
      <c r="AK75" s="293"/>
      <c r="AL75" s="293"/>
      <c r="AM75" s="294"/>
      <c r="AN75" s="261" t="str">
        <f ca="1">IFERROR(VLOOKUP(LARGE(INDIRECT(VLOOKUP($A$5,'Start List'!$J$9:$Q$14,5,FALSE)),Juniors!AC75),'Start List'!$B$15:$V$139,7,FALSE)," ")</f>
        <v xml:space="preserve"> </v>
      </c>
      <c r="AO75" s="8"/>
      <c r="BM75" s="200">
        <v>3</v>
      </c>
      <c r="BN75" s="200" t="str">
        <f ca="1">IF($BF$42&lt;&gt;" ",VLOOKUP(LARGE(INDIRECT(VLOOKUP($A$5,'Start List'!$J$9:$Q$14,5,FALSE)),BO75),'Start List'!$B$15:$V$139,3,FALSE),"")</f>
        <v/>
      </c>
      <c r="BO75" s="201" t="str">
        <f>BE65</f>
        <v xml:space="preserve"> </v>
      </c>
      <c r="BP75" s="202" t="e">
        <f t="shared" si="1"/>
        <v>#N/A</v>
      </c>
      <c r="BQ75" s="202" t="e">
        <f t="shared" si="2"/>
        <v>#N/A</v>
      </c>
      <c r="BR75" s="202" t="e">
        <f t="shared" si="3"/>
        <v>#N/A</v>
      </c>
      <c r="BS75" s="200" t="str">
        <f>LARGE($BB$64:$BB$67,1)&amp;":"&amp;SMALL($BB$64:$BB$67,1)</f>
        <v>0:0</v>
      </c>
      <c r="BT75" s="200"/>
    </row>
    <row r="76" spans="1:72" ht="6.75" customHeight="1" thickBot="1" x14ac:dyDescent="0.25">
      <c r="A76" s="29"/>
      <c r="B76" s="29"/>
      <c r="C76" s="29"/>
      <c r="D76" s="29"/>
      <c r="E76" s="29"/>
      <c r="F76" s="29"/>
      <c r="G76" s="29"/>
      <c r="H76" s="29"/>
      <c r="I76" s="29"/>
      <c r="J76" s="29"/>
      <c r="K76" s="29"/>
      <c r="L76" s="29"/>
      <c r="M76" s="29"/>
      <c r="N76" s="29"/>
      <c r="O76" s="263" t="str">
        <f>VLOOKUP(VLOOKUP($A$5,'Start List'!$J$9:$Q$14,8,FALSE)&amp;A83,Data!$D$2:$H$97,3,FALSE)</f>
        <v/>
      </c>
      <c r="P76" s="266"/>
      <c r="Q76" s="266"/>
      <c r="R76" s="266"/>
      <c r="S76" s="266"/>
      <c r="T76" s="266"/>
      <c r="U76" s="269">
        <f>IF(P74&lt;P76,2,IF(AND(P76=P74,P76&gt;0),1,0))</f>
        <v>0</v>
      </c>
      <c r="V76" s="269">
        <f>IF(Q74&lt;Q76,2,IF(AND(Q76=Q74,Q76&gt;0),1,0))</f>
        <v>0</v>
      </c>
      <c r="W76" s="269">
        <f>IF(R74&lt;R76,2,IF(AND(R76=R74,R76&gt;0),1,0))</f>
        <v>0</v>
      </c>
      <c r="X76" s="269">
        <f>IF(S74&lt;S76,2,IF(AND(S76=S74,S76&gt;0),1,0))</f>
        <v>0</v>
      </c>
      <c r="Y76" s="269">
        <f>IF(T74&lt;T76,2,IF(AND(T76=T74,T76&gt;0),1,0))</f>
        <v>0</v>
      </c>
      <c r="Z76" s="277">
        <f>SUM(U76:Y77)</f>
        <v>0</v>
      </c>
      <c r="AA76" s="17"/>
      <c r="AB76" s="19"/>
      <c r="AC76" s="254"/>
      <c r="AD76" s="295"/>
      <c r="AE76" s="296"/>
      <c r="AF76" s="296"/>
      <c r="AG76" s="296"/>
      <c r="AH76" s="296"/>
      <c r="AI76" s="296"/>
      <c r="AJ76" s="296"/>
      <c r="AK76" s="296"/>
      <c r="AL76" s="296"/>
      <c r="AM76" s="297"/>
      <c r="AN76" s="262"/>
      <c r="AO76" s="13"/>
      <c r="BM76" s="200">
        <v>4</v>
      </c>
      <c r="BN76" s="200" t="str">
        <f ca="1">IF($BF$42&lt;&gt;" ",VLOOKUP(LARGE(INDIRECT(VLOOKUP($A$5,'Start List'!$J$9:$Q$14,5,FALSE)),BO76),'Start List'!$B$15:$V$139,3,FALSE),"")</f>
        <v/>
      </c>
      <c r="BO76" s="201" t="str">
        <f>IF(AQ60=BE65,AQ70,AQ60)</f>
        <v xml:space="preserve"> </v>
      </c>
      <c r="BP76" s="202" t="e">
        <f t="shared" si="1"/>
        <v>#N/A</v>
      </c>
      <c r="BQ76" s="202" t="e">
        <f t="shared" si="2"/>
        <v>#N/A</v>
      </c>
      <c r="BR76" s="202" t="e">
        <f t="shared" si="3"/>
        <v>#N/A</v>
      </c>
      <c r="BS76" s="200" t="str">
        <f>SMALL($BB$64:$BB$67,1)&amp;":"&amp;LARGE($BB$64:$BB$67,1)</f>
        <v>0:0</v>
      </c>
      <c r="BT76" s="200"/>
    </row>
    <row r="77" spans="1:72" ht="6.75" customHeight="1" x14ac:dyDescent="0.2">
      <c r="A77" s="254">
        <v>6</v>
      </c>
      <c r="B77" s="255" t="str">
        <f ca="1">IF(A77=" "," ",IFERROR(VLOOKUP(LARGE(INDIRECT(VLOOKUP($A$5,'Start List'!$J$9:$Q$14,5,FALSE)),A77),'Start List'!$B$15:$V$139,3,FALSE),"bye to the next round"))</f>
        <v>bye to the next round</v>
      </c>
      <c r="C77" s="256"/>
      <c r="D77" s="256"/>
      <c r="E77" s="256"/>
      <c r="F77" s="256"/>
      <c r="G77" s="256"/>
      <c r="H77" s="256"/>
      <c r="I77" s="256"/>
      <c r="J77" s="256"/>
      <c r="K77" s="257"/>
      <c r="L77" s="261" t="str">
        <f ca="1">IFERROR(VLOOKUP(LARGE(INDIRECT(VLOOKUP($A$5,'Start List'!$J$9:$Q$14,5,FALSE)),Juniors!A77),'Start List'!$B$15:$V$139,7,FALSE)," ")</f>
        <v xml:space="preserve"> </v>
      </c>
      <c r="M77" s="2"/>
      <c r="N77" s="5"/>
      <c r="O77" s="263"/>
      <c r="P77" s="266"/>
      <c r="Q77" s="266"/>
      <c r="R77" s="266"/>
      <c r="S77" s="266"/>
      <c r="T77" s="266"/>
      <c r="U77" s="269"/>
      <c r="V77" s="269"/>
      <c r="W77" s="269"/>
      <c r="X77" s="269"/>
      <c r="Y77" s="269"/>
      <c r="Z77" s="277"/>
      <c r="AA77" s="18"/>
      <c r="AB77" s="1"/>
      <c r="AN77" s="27"/>
      <c r="AO77" s="298"/>
      <c r="AP77" s="298"/>
      <c r="BM77" s="204">
        <v>5</v>
      </c>
      <c r="BN77" s="200" t="str">
        <f ca="1">IF($BF$42&lt;&gt;" ",VLOOKUP(LARGE(INDIRECT(VLOOKUP($A$5,'Start List'!$J$9:$Q$14,5,FALSE)),BO77),'Start List'!$B$15:$V$139,3,FALSE),"")</f>
        <v/>
      </c>
      <c r="BO77" s="202">
        <f ca="1">SMALL($BT$77:$BT$80,1)</f>
        <v>5</v>
      </c>
      <c r="BP77" s="202" t="str">
        <f t="shared" ca="1" si="1"/>
        <v>0:0</v>
      </c>
      <c r="BQ77" s="202" t="str">
        <f t="shared" ca="1" si="2"/>
        <v>0:0</v>
      </c>
      <c r="BR77" s="200" t="str">
        <f>""</f>
        <v/>
      </c>
      <c r="BS77" s="200" t="str">
        <f>""</f>
        <v/>
      </c>
      <c r="BT77" s="202">
        <f ca="1">IF(O10=AC15,O20,O10)</f>
        <v>8</v>
      </c>
    </row>
    <row r="78" spans="1:72" ht="6.75" customHeight="1" thickBot="1" x14ac:dyDescent="0.25">
      <c r="A78" s="270"/>
      <c r="B78" s="258"/>
      <c r="C78" s="259"/>
      <c r="D78" s="259"/>
      <c r="E78" s="259"/>
      <c r="F78" s="259"/>
      <c r="G78" s="259"/>
      <c r="H78" s="259"/>
      <c r="I78" s="259"/>
      <c r="J78" s="259"/>
      <c r="K78" s="260"/>
      <c r="L78" s="262"/>
      <c r="M78" s="14"/>
      <c r="AA78" s="9"/>
      <c r="AN78" s="23"/>
      <c r="AO78" s="298"/>
      <c r="AP78" s="298"/>
      <c r="BM78" s="200">
        <v>6</v>
      </c>
      <c r="BN78" s="200" t="str">
        <f ca="1">IF($BF$42&lt;&gt;" ",VLOOKUP(LARGE(INDIRECT(VLOOKUP($A$5,'Start List'!$J$9:$Q$14,5,FALSE)),BO78),'Start List'!$B$15:$V$139,3,FALSE),"")</f>
        <v/>
      </c>
      <c r="BO78" s="202">
        <f ca="1">SMALL($BT$77:$BT$80,2)</f>
        <v>6</v>
      </c>
      <c r="BP78" s="202" t="str">
        <f t="shared" ca="1" si="1"/>
        <v>0:0</v>
      </c>
      <c r="BQ78" s="202" t="str">
        <f t="shared" ca="1" si="2"/>
        <v>0:0</v>
      </c>
      <c r="BR78" s="200" t="str">
        <f>""</f>
        <v/>
      </c>
      <c r="BS78" s="200" t="str">
        <f>""</f>
        <v/>
      </c>
      <c r="BT78" s="200">
        <f ca="1">IF(O30=AC35,O40,O30)</f>
        <v>5</v>
      </c>
    </row>
    <row r="79" spans="1:72" ht="6.75" customHeight="1" thickBot="1" x14ac:dyDescent="0.25">
      <c r="A79" s="263" t="str">
        <f>VLOOKUP(VLOOKUP($A$5,'Start List'!$J$9:$Q$14,8,FALSE)&amp;A77,Data!$D$2:$H$97,2,FALSE)</f>
        <v/>
      </c>
      <c r="B79" s="274"/>
      <c r="C79" s="271"/>
      <c r="D79" s="271"/>
      <c r="E79" s="271"/>
      <c r="F79" s="271"/>
      <c r="G79" s="268">
        <f>IF(B79&gt;B81,2,IF(AND(B81=B79,B79&gt;0),1,0))</f>
        <v>0</v>
      </c>
      <c r="H79" s="268">
        <f>IF(C79&gt;C81,2,IF(AND(C81=C79,C79&gt;0),1,0))</f>
        <v>0</v>
      </c>
      <c r="I79" s="268">
        <f>IF(D79&gt;D81,2,IF(AND(D81=D79,D79&gt;0),1,0))</f>
        <v>0</v>
      </c>
      <c r="J79" s="268">
        <f>IF(E79&gt;E81,2,IF(AND(E81=E79,E79&gt;0),1,0))</f>
        <v>0</v>
      </c>
      <c r="K79" s="268">
        <f>IF(F79&gt;F81,2,IF(AND(F81=F79,F79&gt;0),1,0))</f>
        <v>0</v>
      </c>
      <c r="L79" s="272">
        <f>SUM(G79:K80)</f>
        <v>0</v>
      </c>
      <c r="M79" s="9"/>
      <c r="AA79" s="9"/>
      <c r="AN79" s="23"/>
      <c r="AO79" s="298"/>
      <c r="AP79" s="298"/>
      <c r="BM79" s="200">
        <v>7</v>
      </c>
      <c r="BN79" s="200" t="str">
        <f ca="1">IF($BF$42&lt;&gt;" ",VLOOKUP(LARGE(INDIRECT(VLOOKUP($A$5,'Start List'!$J$9:$Q$14,5,FALSE)),BO79),'Start List'!$B$15:$V$139,3,FALSE),"")</f>
        <v/>
      </c>
      <c r="BO79" s="202">
        <f ca="1">SMALL($BT$77:$BT$80,3)</f>
        <v>7</v>
      </c>
      <c r="BP79" s="202" t="str">
        <f t="shared" ca="1" si="1"/>
        <v>0:0</v>
      </c>
      <c r="BQ79" s="202" t="str">
        <f t="shared" ca="1" si="2"/>
        <v>0:0</v>
      </c>
      <c r="BR79" s="200" t="str">
        <f>""</f>
        <v/>
      </c>
      <c r="BS79" s="200" t="str">
        <f>""</f>
        <v/>
      </c>
      <c r="BT79" s="200">
        <f ca="1">IF(O50=AC55,O60,O50)</f>
        <v>7</v>
      </c>
    </row>
    <row r="80" spans="1:72" ht="6.75" customHeight="1" x14ac:dyDescent="0.2">
      <c r="A80" s="263"/>
      <c r="B80" s="264"/>
      <c r="C80" s="266"/>
      <c r="D80" s="266"/>
      <c r="E80" s="266"/>
      <c r="F80" s="266"/>
      <c r="G80" s="269"/>
      <c r="H80" s="269"/>
      <c r="I80" s="269"/>
      <c r="J80" s="269"/>
      <c r="K80" s="269"/>
      <c r="L80" s="273"/>
      <c r="M80" s="15"/>
      <c r="O80" s="254">
        <f ca="1">IF(B83="bye to the next round",A77,IF(AND(L79&gt;L81,L79&gt;4),A77,IF(AND(L81&gt;L79,L81&gt;4),A83,IF(AND(L79=5,L81=5),MIN(A77,A83)," "))))</f>
        <v>6</v>
      </c>
      <c r="P80" s="255" t="str">
        <f ca="1">IF(O80=" "," ",IFERROR(VLOOKUP(LARGE(INDIRECT(VLOOKUP($A$5,'Start List'!$J$9:$Q$14,5,FALSE)),O80),'Start List'!$B$15:$V$139,3,FALSE),"bye to the next round"))</f>
        <v>bye to the next round</v>
      </c>
      <c r="Q80" s="256"/>
      <c r="R80" s="256"/>
      <c r="S80" s="256"/>
      <c r="T80" s="256"/>
      <c r="U80" s="256"/>
      <c r="V80" s="256"/>
      <c r="W80" s="256"/>
      <c r="X80" s="256"/>
      <c r="Y80" s="257"/>
      <c r="Z80" s="261" t="str">
        <f ca="1">IFERROR(VLOOKUP(LARGE(INDIRECT(VLOOKUP($A$5,'Start List'!$J$9:$Q$14,5,FALSE)),Juniors!O80),'Start List'!$B$15:$V$139,7,FALSE)," ")</f>
        <v xml:space="preserve"> </v>
      </c>
      <c r="AA80" s="8"/>
      <c r="AN80" s="23"/>
      <c r="AO80" s="298"/>
      <c r="AP80" s="298"/>
      <c r="BM80" s="200">
        <v>8</v>
      </c>
      <c r="BN80" s="200" t="str">
        <f ca="1">IF($BF$42&lt;&gt;" ",VLOOKUP(LARGE(INDIRECT(VLOOKUP($A$5,'Start List'!$J$9:$Q$14,5,FALSE)),BO80),'Start List'!$B$15:$V$139,3,FALSE),"")</f>
        <v/>
      </c>
      <c r="BO80" s="202">
        <f ca="1">SMALL($BT$77:$BT$80,4)</f>
        <v>8</v>
      </c>
      <c r="BP80" s="202" t="str">
        <f t="shared" ca="1" si="1"/>
        <v>0:0</v>
      </c>
      <c r="BQ80" s="202" t="str">
        <f t="shared" ca="1" si="2"/>
        <v>0:0</v>
      </c>
      <c r="BR80" s="200" t="str">
        <f>""</f>
        <v/>
      </c>
      <c r="BS80" s="200" t="str">
        <f>""</f>
        <v/>
      </c>
      <c r="BT80" s="200">
        <f ca="1">IF(O70=AC75,O80,O70)</f>
        <v>6</v>
      </c>
    </row>
    <row r="81" spans="1:72" ht="6.75" customHeight="1" thickBot="1" x14ac:dyDescent="0.25">
      <c r="A81" s="263" t="str">
        <f>VLOOKUP(VLOOKUP($A$5,'Start List'!$J$9:$Q$14,8,FALSE)&amp;A83,Data!$D$2:$H$97,2,FALSE)</f>
        <v/>
      </c>
      <c r="B81" s="264"/>
      <c r="C81" s="266"/>
      <c r="D81" s="266"/>
      <c r="E81" s="266"/>
      <c r="F81" s="266"/>
      <c r="G81" s="268">
        <f>IF(B79&lt;B81,2,IF(AND(B81=B79,B81&gt;0),1,0))</f>
        <v>0</v>
      </c>
      <c r="H81" s="268">
        <f>IF(C79&lt;C81,2,IF(AND(C81=C79,C81&gt;0),1,0))</f>
        <v>0</v>
      </c>
      <c r="I81" s="268">
        <f>IF(D79&lt;D81,2,IF(AND(D81=D79,D81&gt;0),1,0))</f>
        <v>0</v>
      </c>
      <c r="J81" s="268">
        <f>IF(E79&lt;E81,2,IF(AND(E81=E79,E81&gt;0),1,0))</f>
        <v>0</v>
      </c>
      <c r="K81" s="268">
        <f>IF(F79&lt;F81,2,IF(AND(F81=F79,F81&gt;0),1,0))</f>
        <v>0</v>
      </c>
      <c r="L81" s="272">
        <f>SUM(G81:K82)</f>
        <v>0</v>
      </c>
      <c r="M81" s="15"/>
      <c r="N81" s="10"/>
      <c r="O81" s="254"/>
      <c r="P81" s="258"/>
      <c r="Q81" s="259"/>
      <c r="R81" s="259"/>
      <c r="S81" s="259"/>
      <c r="T81" s="259"/>
      <c r="U81" s="259"/>
      <c r="V81" s="259"/>
      <c r="W81" s="259"/>
      <c r="X81" s="259"/>
      <c r="Y81" s="260"/>
      <c r="Z81" s="262"/>
      <c r="AA81" s="13"/>
      <c r="AN81" s="23"/>
      <c r="AO81" s="298"/>
      <c r="AP81" s="298"/>
      <c r="BM81" s="200">
        <v>9</v>
      </c>
      <c r="BN81" s="200" t="str">
        <f ca="1">IF($BF$42&lt;&gt;" ",VLOOKUP(LARGE(INDIRECT(VLOOKUP($A$5,'Start List'!$J$9:$Q$14,5,FALSE)),BO81),'Start List'!$B$15:$V$139,3,FALSE),"")</f>
        <v/>
      </c>
      <c r="BO81" s="200">
        <f t="shared" ref="BO81:BO88" ca="1" si="4">SMALL($BT$81:$BT$88,BM50)</f>
        <v>9</v>
      </c>
      <c r="BP81" s="202" t="str">
        <f t="shared" ca="1" si="1"/>
        <v>0:0</v>
      </c>
      <c r="BQ81" s="200" t="str">
        <f>""</f>
        <v/>
      </c>
      <c r="BR81" s="200" t="str">
        <f>""</f>
        <v/>
      </c>
      <c r="BS81" s="200" t="str">
        <f>""</f>
        <v/>
      </c>
      <c r="BT81" s="200">
        <f ca="1">IF(A7=O10,A13,A7)</f>
        <v>16</v>
      </c>
    </row>
    <row r="82" spans="1:72" ht="6.75" customHeight="1" thickBot="1" x14ac:dyDescent="0.25">
      <c r="A82" s="263"/>
      <c r="B82" s="265"/>
      <c r="C82" s="267"/>
      <c r="D82" s="267"/>
      <c r="E82" s="267"/>
      <c r="F82" s="267"/>
      <c r="G82" s="269"/>
      <c r="H82" s="269"/>
      <c r="I82" s="269"/>
      <c r="J82" s="269"/>
      <c r="K82" s="269"/>
      <c r="L82" s="273"/>
      <c r="M82" s="15"/>
      <c r="O82" s="7"/>
      <c r="AN82" s="23"/>
      <c r="AO82" s="298"/>
      <c r="AP82" s="298"/>
      <c r="BM82" s="200">
        <v>10</v>
      </c>
      <c r="BN82" s="200" t="str">
        <f ca="1">IF($BF$42&lt;&gt;" ",VLOOKUP(LARGE(INDIRECT(VLOOKUP($A$5,'Start List'!$J$9:$Q$14,5,FALSE)),BO82),'Start List'!$B$15:$V$139,3,FALSE),"")</f>
        <v/>
      </c>
      <c r="BO82" s="200">
        <f t="shared" ca="1" si="4"/>
        <v>10</v>
      </c>
      <c r="BP82" s="202" t="str">
        <f t="shared" ca="1" si="1"/>
        <v>0:0</v>
      </c>
      <c r="BQ82" s="200" t="str">
        <f>""</f>
        <v/>
      </c>
      <c r="BR82" s="200" t="str">
        <f>""</f>
        <v/>
      </c>
      <c r="BS82" s="200" t="str">
        <f>""</f>
        <v/>
      </c>
      <c r="BT82" s="200">
        <f ca="1">IF(A17=O20,A23,A17)</f>
        <v>9</v>
      </c>
    </row>
    <row r="83" spans="1:72" ht="6.75" customHeight="1" x14ac:dyDescent="0.2">
      <c r="A83" s="254">
        <v>11</v>
      </c>
      <c r="B83" s="255" t="str">
        <f ca="1">IF(A83=" "," ",IFERROR(VLOOKUP(LARGE(INDIRECT(VLOOKUP($A$5,'Start List'!$J$9:$Q$14,5,FALSE)),A83),'Start List'!$B$15:$V$139,3,FALSE),"bye to the next round"))</f>
        <v>bye to the next round</v>
      </c>
      <c r="C83" s="256"/>
      <c r="D83" s="256"/>
      <c r="E83" s="256"/>
      <c r="F83" s="256"/>
      <c r="G83" s="256"/>
      <c r="H83" s="256"/>
      <c r="I83" s="256"/>
      <c r="J83" s="256"/>
      <c r="K83" s="257"/>
      <c r="L83" s="261" t="str">
        <f ca="1">IFERROR(VLOOKUP(LARGE(INDIRECT(VLOOKUP($A$5,'Start List'!$J$9:$Q$14,5,FALSE)),Juniors!A83),'Start List'!$B$15:$V$139,7,FALSE)," ")</f>
        <v xml:space="preserve"> </v>
      </c>
      <c r="M83" s="8"/>
      <c r="O83" s="7"/>
      <c r="AN83" s="23"/>
      <c r="AO83" s="298"/>
      <c r="AP83" s="298"/>
      <c r="BM83" s="200">
        <v>11</v>
      </c>
      <c r="BN83" s="200" t="str">
        <f ca="1">IF($BF$42&lt;&gt;" ",VLOOKUP(LARGE(INDIRECT(VLOOKUP($A$5,'Start List'!$J$9:$Q$14,5,FALSE)),BO83),'Start List'!$B$15:$V$139,3,FALSE),"")</f>
        <v/>
      </c>
      <c r="BO83" s="200">
        <f t="shared" ca="1" si="4"/>
        <v>11</v>
      </c>
      <c r="BP83" s="202" t="str">
        <f t="shared" ca="1" si="1"/>
        <v>0:0</v>
      </c>
      <c r="BQ83" s="200" t="str">
        <f>""</f>
        <v/>
      </c>
      <c r="BR83" s="200" t="str">
        <f>""</f>
        <v/>
      </c>
      <c r="BS83" s="200" t="str">
        <f>""</f>
        <v/>
      </c>
      <c r="BT83" s="200">
        <f ca="1">IF(A27=O30,A33,A27)</f>
        <v>13</v>
      </c>
    </row>
    <row r="84" spans="1:72" ht="6.75" customHeight="1" thickBot="1" x14ac:dyDescent="0.25">
      <c r="A84" s="254"/>
      <c r="B84" s="258"/>
      <c r="C84" s="259"/>
      <c r="D84" s="259"/>
      <c r="E84" s="259"/>
      <c r="F84" s="259"/>
      <c r="G84" s="259"/>
      <c r="H84" s="259"/>
      <c r="I84" s="259"/>
      <c r="J84" s="259"/>
      <c r="K84" s="260"/>
      <c r="L84" s="262"/>
      <c r="M84" s="13"/>
      <c r="AN84" s="23"/>
      <c r="AO84" s="298"/>
      <c r="AP84" s="298"/>
      <c r="BM84" s="200">
        <v>12</v>
      </c>
      <c r="BN84" s="200" t="str">
        <f ca="1">IF($BF$42&lt;&gt;" ",VLOOKUP(LARGE(INDIRECT(VLOOKUP($A$5,'Start List'!$J$9:$Q$14,5,FALSE)),BO84),'Start List'!$B$15:$V$139,3,FALSE),"")</f>
        <v/>
      </c>
      <c r="BO84" s="200">
        <f t="shared" ca="1" si="4"/>
        <v>12</v>
      </c>
      <c r="BP84" s="202" t="str">
        <f t="shared" ca="1" si="1"/>
        <v>0:0</v>
      </c>
      <c r="BQ84" s="200" t="str">
        <f>""</f>
        <v/>
      </c>
      <c r="BR84" s="200" t="str">
        <f>""</f>
        <v/>
      </c>
      <c r="BS84" s="200" t="str">
        <f>""</f>
        <v/>
      </c>
      <c r="BT84" s="200">
        <f ca="1">IF(A37=O40,A43,A37)</f>
        <v>12</v>
      </c>
    </row>
    <row r="85" spans="1:72" ht="6.75" customHeight="1" x14ac:dyDescent="0.2">
      <c r="A85" s="30"/>
      <c r="AN85" s="23"/>
      <c r="AO85" s="34"/>
      <c r="AP85" s="34"/>
      <c r="BM85" s="200">
        <v>13</v>
      </c>
      <c r="BN85" s="200" t="str">
        <f ca="1">IF($BF$42&lt;&gt;" ",VLOOKUP(LARGE(INDIRECT(VLOOKUP($A$5,'Start List'!$J$9:$Q$14,5,FALSE)),BO85),'Start List'!$B$15:$V$139,3,FALSE),"")</f>
        <v/>
      </c>
      <c r="BO85" s="200">
        <f t="shared" ca="1" si="4"/>
        <v>13</v>
      </c>
      <c r="BP85" s="202" t="str">
        <f t="shared" ca="1" si="1"/>
        <v>0:0</v>
      </c>
      <c r="BQ85" s="200" t="str">
        <f>""</f>
        <v/>
      </c>
      <c r="BR85" s="200" t="str">
        <f>""</f>
        <v/>
      </c>
      <c r="BS85" s="200" t="str">
        <f>""</f>
        <v/>
      </c>
      <c r="BT85" s="200">
        <f ca="1">IF(A47=O50,A53,A47)</f>
        <v>15</v>
      </c>
    </row>
    <row r="86" spans="1:72" ht="6.75" customHeight="1" x14ac:dyDescent="0.2">
      <c r="A86" s="31"/>
      <c r="B86" s="7"/>
      <c r="C86" s="7"/>
      <c r="D86" s="7"/>
      <c r="E86" s="7"/>
      <c r="F86" s="7"/>
      <c r="G86" s="7"/>
      <c r="H86" s="7"/>
      <c r="I86" s="7"/>
      <c r="J86" s="7"/>
      <c r="K86" s="7"/>
      <c r="L86" s="7"/>
      <c r="O86" s="7"/>
      <c r="AA86" s="23"/>
      <c r="AB86" s="34"/>
      <c r="AC86" s="34"/>
      <c r="BM86" s="11">
        <v>14</v>
      </c>
      <c r="BN86" s="200" t="str">
        <f ca="1">IF($BF$42&lt;&gt;" ",VLOOKUP(LARGE(INDIRECT(VLOOKUP($A$5,'Start List'!$J$9:$Q$14,5,FALSE)),BO86),'Start List'!$B$15:$V$139,3,FALSE),"")</f>
        <v/>
      </c>
      <c r="BO86" s="200">
        <f t="shared" ca="1" si="4"/>
        <v>14</v>
      </c>
      <c r="BP86" s="202" t="str">
        <f t="shared" ca="1" si="1"/>
        <v>0:0</v>
      </c>
      <c r="BQ86" s="200" t="str">
        <f>""</f>
        <v/>
      </c>
      <c r="BR86" s="200" t="str">
        <f>""</f>
        <v/>
      </c>
      <c r="BS86" s="200" t="str">
        <f>""</f>
        <v/>
      </c>
      <c r="BT86" s="203">
        <f ca="1">IF(A57=O60,A63,A57)</f>
        <v>10</v>
      </c>
    </row>
    <row r="87" spans="1:72" ht="6.75" customHeight="1" x14ac:dyDescent="0.2">
      <c r="A87" s="23"/>
      <c r="B87" s="3"/>
      <c r="C87" s="7"/>
      <c r="D87" s="7"/>
      <c r="E87" s="7"/>
      <c r="F87" s="7"/>
      <c r="G87" s="7"/>
      <c r="H87" s="7"/>
      <c r="I87" s="7"/>
      <c r="J87" s="7"/>
      <c r="K87" s="7"/>
      <c r="L87" s="7"/>
      <c r="O87" s="7"/>
      <c r="BM87" s="193">
        <v>15</v>
      </c>
      <c r="BN87" s="200" t="str">
        <f ca="1">IF($BF$42&lt;&gt;" ",VLOOKUP(LARGE(INDIRECT(VLOOKUP($A$5,'Start List'!$J$9:$Q$14,5,FALSE)),BO87),'Start List'!$B$15:$V$139,3,FALSE),"")</f>
        <v/>
      </c>
      <c r="BO87" s="200">
        <f t="shared" ca="1" si="4"/>
        <v>15</v>
      </c>
      <c r="BP87" s="202" t="str">
        <f t="shared" ca="1" si="1"/>
        <v>0:0</v>
      </c>
      <c r="BQ87" s="200" t="str">
        <f>""</f>
        <v/>
      </c>
      <c r="BR87" s="200" t="str">
        <f>""</f>
        <v/>
      </c>
      <c r="BS87" s="200" t="str">
        <f>""</f>
        <v/>
      </c>
      <c r="BT87" s="200">
        <f ca="1">IF(A67=O70,A73,A67)</f>
        <v>14</v>
      </c>
    </row>
    <row r="88" spans="1:72" ht="6.75" customHeight="1" x14ac:dyDescent="0.2">
      <c r="A88" s="23"/>
      <c r="B88" s="3"/>
      <c r="C88" s="7"/>
      <c r="D88" s="7"/>
      <c r="E88" s="7"/>
      <c r="F88" s="7"/>
      <c r="G88" s="7"/>
      <c r="H88" s="7"/>
      <c r="I88" s="7"/>
      <c r="J88" s="7"/>
      <c r="K88" s="7"/>
      <c r="L88" s="7"/>
      <c r="O88" s="7"/>
      <c r="BM88" s="193">
        <v>16</v>
      </c>
      <c r="BN88" s="200" t="str">
        <f ca="1">IF($BF$42&lt;&gt;" ",VLOOKUP(LARGE(INDIRECT(VLOOKUP($A$5,'Start List'!$J$9:$Q$14,5,FALSE)),BO88),'Start List'!$B$15:$V$139,3,FALSE),"")</f>
        <v/>
      </c>
      <c r="BO88" s="200">
        <f t="shared" ca="1" si="4"/>
        <v>16</v>
      </c>
      <c r="BP88" s="202" t="str">
        <f t="shared" ca="1" si="1"/>
        <v>0:0</v>
      </c>
      <c r="BQ88" s="200" t="str">
        <f>""</f>
        <v/>
      </c>
      <c r="BR88" s="200" t="str">
        <f>""</f>
        <v/>
      </c>
      <c r="BS88" s="200" t="str">
        <f>""</f>
        <v/>
      </c>
      <c r="BT88" s="200">
        <f ca="1">IF(A77=O80,A83,A77)</f>
        <v>11</v>
      </c>
    </row>
    <row r="89" spans="1:72" ht="6.75" customHeight="1" x14ac:dyDescent="0.2">
      <c r="B89" s="3"/>
      <c r="C89" s="7"/>
      <c r="D89" s="7"/>
      <c r="E89" s="7"/>
      <c r="F89" s="7"/>
      <c r="G89" s="7"/>
      <c r="H89" s="7"/>
      <c r="I89" s="7"/>
      <c r="J89" s="7"/>
      <c r="K89" s="7"/>
      <c r="L89" s="7"/>
      <c r="O89" s="7"/>
    </row>
    <row r="90" spans="1:72" ht="6.75" customHeight="1" x14ac:dyDescent="0.2">
      <c r="B90" s="3"/>
      <c r="C90" s="7"/>
      <c r="D90" s="7"/>
      <c r="E90" s="7"/>
      <c r="F90" s="7"/>
      <c r="G90" s="7"/>
      <c r="H90" s="7"/>
      <c r="I90" s="7"/>
      <c r="J90" s="7"/>
      <c r="K90" s="7"/>
      <c r="L90" s="7"/>
      <c r="O90" s="7"/>
    </row>
    <row r="91" spans="1:72" ht="6.75" customHeight="1" x14ac:dyDescent="0.2">
      <c r="B91" s="3"/>
      <c r="C91" s="7"/>
      <c r="D91" s="7"/>
      <c r="E91" s="7"/>
      <c r="F91" s="7"/>
      <c r="G91" s="7"/>
      <c r="H91" s="7"/>
      <c r="I91" s="7"/>
      <c r="J91" s="7"/>
      <c r="K91" s="7"/>
      <c r="L91" s="7"/>
      <c r="O91" s="7"/>
    </row>
    <row r="92" spans="1:72" ht="6.75" customHeight="1" x14ac:dyDescent="0.2">
      <c r="B92" s="3"/>
      <c r="C92" s="7"/>
      <c r="D92" s="7"/>
      <c r="E92" s="7"/>
      <c r="F92" s="7"/>
      <c r="G92" s="7"/>
      <c r="H92" s="7"/>
      <c r="I92" s="7"/>
      <c r="J92" s="7"/>
      <c r="K92" s="7"/>
      <c r="L92" s="7"/>
      <c r="O92" s="7"/>
    </row>
    <row r="93" spans="1:72" ht="6.75" customHeight="1" x14ac:dyDescent="0.2">
      <c r="B93" s="3"/>
      <c r="C93" s="7"/>
      <c r="D93" s="7"/>
      <c r="E93" s="7"/>
      <c r="F93" s="7"/>
      <c r="G93" s="7"/>
      <c r="H93" s="7"/>
      <c r="I93" s="7"/>
      <c r="J93" s="7"/>
      <c r="K93" s="7"/>
      <c r="L93" s="7"/>
      <c r="O93" s="7"/>
    </row>
    <row r="94" spans="1:72" ht="6.75" customHeight="1" x14ac:dyDescent="0.2">
      <c r="B94" s="3"/>
      <c r="C94" s="7"/>
      <c r="D94" s="7"/>
      <c r="E94" s="7"/>
      <c r="F94" s="7"/>
      <c r="G94" s="7"/>
      <c r="H94" s="7"/>
      <c r="I94" s="7"/>
      <c r="J94" s="7"/>
      <c r="K94" s="7"/>
      <c r="L94" s="7"/>
      <c r="O94" s="7"/>
    </row>
    <row r="95" spans="1:72" ht="6.75" customHeight="1" x14ac:dyDescent="0.2">
      <c r="B95" s="3"/>
      <c r="C95" s="7"/>
      <c r="D95" s="7"/>
      <c r="E95" s="7"/>
      <c r="F95" s="7"/>
      <c r="G95" s="7"/>
      <c r="H95" s="7"/>
      <c r="I95" s="7"/>
      <c r="J95" s="7"/>
      <c r="K95" s="7"/>
      <c r="L95" s="7"/>
      <c r="O95" s="7"/>
    </row>
    <row r="96" spans="1:72" ht="6.75" customHeight="1" x14ac:dyDescent="0.2">
      <c r="B96" s="3"/>
      <c r="C96" s="7"/>
      <c r="D96" s="7"/>
      <c r="E96" s="7"/>
      <c r="F96" s="7"/>
      <c r="G96" s="7"/>
      <c r="H96" s="7"/>
      <c r="I96" s="7"/>
      <c r="J96" s="7"/>
      <c r="K96" s="7"/>
      <c r="L96" s="7"/>
      <c r="O96" s="7"/>
    </row>
    <row r="97" spans="2:15" ht="6.75" customHeight="1" x14ac:dyDescent="0.2">
      <c r="B97" s="3"/>
      <c r="C97" s="7"/>
      <c r="D97" s="7"/>
      <c r="E97" s="7"/>
      <c r="F97" s="7"/>
      <c r="G97" s="7"/>
      <c r="H97" s="7"/>
      <c r="I97" s="7"/>
      <c r="J97" s="7"/>
      <c r="K97" s="7"/>
      <c r="L97" s="7"/>
      <c r="O97" s="7"/>
    </row>
    <row r="98" spans="2:15" ht="6.75" customHeight="1" x14ac:dyDescent="0.2">
      <c r="B98" s="3"/>
      <c r="C98" s="7"/>
      <c r="D98" s="7"/>
      <c r="E98" s="7"/>
      <c r="F98" s="7"/>
      <c r="G98" s="7"/>
      <c r="H98" s="7"/>
      <c r="I98" s="7"/>
      <c r="J98" s="7"/>
      <c r="K98" s="7"/>
      <c r="L98" s="7"/>
      <c r="O98" s="7"/>
    </row>
    <row r="99" spans="2:15" ht="6.75" customHeight="1" x14ac:dyDescent="0.2">
      <c r="B99" s="3"/>
      <c r="C99" s="7"/>
      <c r="D99" s="7"/>
      <c r="E99" s="7"/>
      <c r="F99" s="7"/>
      <c r="G99" s="7"/>
      <c r="H99" s="7"/>
      <c r="I99" s="7"/>
      <c r="J99" s="7"/>
      <c r="K99" s="7"/>
      <c r="L99" s="7"/>
      <c r="O99" s="7"/>
    </row>
    <row r="100" spans="2:15" ht="6.75" customHeight="1" x14ac:dyDescent="0.2">
      <c r="B100" s="3"/>
      <c r="C100" s="7"/>
      <c r="D100" s="7"/>
      <c r="E100" s="7"/>
      <c r="F100" s="7"/>
      <c r="G100" s="7"/>
      <c r="H100" s="7"/>
      <c r="I100" s="7"/>
      <c r="J100" s="7"/>
      <c r="K100" s="7"/>
      <c r="L100" s="7"/>
      <c r="O100" s="7"/>
    </row>
    <row r="101" spans="2:15" ht="6.75" customHeight="1" x14ac:dyDescent="0.2">
      <c r="B101" s="3"/>
      <c r="C101" s="7"/>
      <c r="D101" s="7"/>
      <c r="E101" s="7"/>
      <c r="F101" s="7"/>
      <c r="G101" s="7"/>
      <c r="H101" s="7"/>
      <c r="I101" s="7"/>
      <c r="J101" s="7"/>
      <c r="K101" s="7"/>
      <c r="L101" s="7"/>
      <c r="O101" s="7"/>
    </row>
    <row r="102" spans="2:15" ht="6.75" customHeight="1" x14ac:dyDescent="0.2">
      <c r="B102" s="3"/>
      <c r="C102" s="7"/>
      <c r="D102" s="7"/>
      <c r="E102" s="7"/>
      <c r="F102" s="7"/>
      <c r="G102" s="7"/>
      <c r="H102" s="7"/>
      <c r="I102" s="7"/>
      <c r="J102" s="7"/>
      <c r="K102" s="7"/>
      <c r="L102" s="7"/>
      <c r="O102" s="7"/>
    </row>
    <row r="103" spans="2:15" ht="6.75" customHeight="1" x14ac:dyDescent="0.2">
      <c r="B103" s="3"/>
      <c r="C103" s="7"/>
      <c r="D103" s="7"/>
      <c r="E103" s="7"/>
      <c r="F103" s="7"/>
      <c r="G103" s="7"/>
      <c r="H103" s="7"/>
      <c r="I103" s="7"/>
      <c r="J103" s="7"/>
      <c r="K103" s="7"/>
      <c r="L103" s="7"/>
      <c r="O103" s="7"/>
    </row>
    <row r="104" spans="2:15" ht="6.75" customHeight="1" x14ac:dyDescent="0.2">
      <c r="B104" s="3"/>
      <c r="C104" s="7"/>
      <c r="D104" s="7"/>
      <c r="E104" s="7"/>
      <c r="F104" s="7"/>
      <c r="G104" s="7"/>
      <c r="H104" s="7"/>
      <c r="I104" s="7"/>
      <c r="J104" s="7"/>
      <c r="K104" s="7"/>
      <c r="L104" s="7"/>
      <c r="O104" s="7"/>
    </row>
    <row r="105" spans="2:15" ht="6.75" customHeight="1" x14ac:dyDescent="0.2">
      <c r="B105" s="3"/>
      <c r="C105" s="7"/>
      <c r="D105" s="7"/>
      <c r="E105" s="7"/>
      <c r="F105" s="7"/>
      <c r="G105" s="7"/>
      <c r="H105" s="7"/>
      <c r="I105" s="7"/>
      <c r="J105" s="7"/>
      <c r="K105" s="7"/>
      <c r="L105" s="7"/>
      <c r="O105" s="7"/>
    </row>
    <row r="106" spans="2:15" ht="6.75" customHeight="1" x14ac:dyDescent="0.2">
      <c r="B106" s="3"/>
      <c r="C106" s="7"/>
      <c r="D106" s="7"/>
      <c r="E106" s="7"/>
      <c r="F106" s="7"/>
      <c r="G106" s="7"/>
      <c r="H106" s="7"/>
      <c r="I106" s="7"/>
      <c r="J106" s="7"/>
      <c r="K106" s="7"/>
      <c r="L106" s="7"/>
      <c r="O106" s="7"/>
    </row>
    <row r="107" spans="2:15" ht="6.75" customHeight="1" x14ac:dyDescent="0.2">
      <c r="B107" s="3"/>
      <c r="C107" s="7"/>
      <c r="D107" s="7"/>
      <c r="E107" s="7"/>
      <c r="F107" s="7"/>
      <c r="G107" s="7"/>
      <c r="H107" s="7"/>
      <c r="I107" s="7"/>
      <c r="J107" s="7"/>
      <c r="K107" s="7"/>
      <c r="L107" s="7"/>
      <c r="O107" s="7"/>
    </row>
    <row r="108" spans="2:15" ht="6.75" customHeight="1" x14ac:dyDescent="0.2">
      <c r="B108" s="3"/>
      <c r="C108" s="7"/>
      <c r="D108" s="7"/>
      <c r="E108" s="7"/>
      <c r="F108" s="7"/>
      <c r="G108" s="7"/>
      <c r="H108" s="7"/>
      <c r="I108" s="7"/>
      <c r="J108" s="7"/>
      <c r="K108" s="7"/>
      <c r="L108" s="7"/>
      <c r="O108" s="7"/>
    </row>
    <row r="109" spans="2:15" ht="6.75" customHeight="1" x14ac:dyDescent="0.2">
      <c r="B109" s="3"/>
      <c r="C109" s="7"/>
      <c r="D109" s="7"/>
      <c r="E109" s="7"/>
      <c r="F109" s="7"/>
      <c r="G109" s="7"/>
      <c r="H109" s="7"/>
      <c r="I109" s="7"/>
      <c r="J109" s="7"/>
      <c r="K109" s="7"/>
      <c r="L109" s="7"/>
      <c r="O109" s="7"/>
    </row>
    <row r="110" spans="2:15" ht="6.75" customHeight="1" x14ac:dyDescent="0.2">
      <c r="B110" s="3"/>
      <c r="C110" s="7"/>
      <c r="D110" s="7"/>
      <c r="E110" s="7"/>
      <c r="F110" s="7"/>
      <c r="G110" s="7"/>
      <c r="H110" s="7"/>
      <c r="I110" s="7"/>
      <c r="J110" s="7"/>
      <c r="K110" s="7"/>
      <c r="L110" s="7"/>
      <c r="O110" s="7"/>
    </row>
    <row r="111" spans="2:15" ht="6.75" customHeight="1" x14ac:dyDescent="0.2">
      <c r="B111" s="3"/>
      <c r="C111" s="7"/>
      <c r="D111" s="7"/>
      <c r="E111" s="7"/>
      <c r="F111" s="7"/>
      <c r="G111" s="7"/>
      <c r="H111" s="7"/>
      <c r="I111" s="7"/>
      <c r="J111" s="7"/>
      <c r="K111" s="7"/>
      <c r="L111" s="7"/>
      <c r="O111" s="7"/>
    </row>
    <row r="112" spans="2:15" ht="6.75" customHeight="1" x14ac:dyDescent="0.2">
      <c r="B112" s="3"/>
      <c r="C112" s="7"/>
      <c r="D112" s="7"/>
      <c r="E112" s="7"/>
      <c r="F112" s="7"/>
      <c r="G112" s="7"/>
      <c r="H112" s="7"/>
      <c r="I112" s="7"/>
      <c r="J112" s="7"/>
      <c r="K112" s="7"/>
      <c r="L112" s="7"/>
      <c r="O112" s="7"/>
    </row>
    <row r="113" spans="2:15" ht="6.75" customHeight="1" x14ac:dyDescent="0.2">
      <c r="B113" s="3"/>
      <c r="C113" s="7"/>
      <c r="D113" s="7"/>
      <c r="E113" s="7"/>
      <c r="F113" s="7"/>
      <c r="G113" s="7"/>
      <c r="H113" s="7"/>
      <c r="I113" s="7"/>
      <c r="J113" s="7"/>
      <c r="K113" s="7"/>
      <c r="L113" s="7"/>
      <c r="O113" s="7"/>
    </row>
    <row r="114" spans="2:15" ht="6.75" customHeight="1" x14ac:dyDescent="0.2">
      <c r="B114" s="3"/>
      <c r="C114" s="7"/>
      <c r="D114" s="7"/>
      <c r="E114" s="7"/>
      <c r="F114" s="7"/>
      <c r="G114" s="7"/>
      <c r="H114" s="7"/>
      <c r="I114" s="7"/>
      <c r="J114" s="7"/>
      <c r="K114" s="7"/>
      <c r="L114" s="7"/>
      <c r="O114" s="7"/>
    </row>
    <row r="115" spans="2:15" ht="6.75" customHeight="1" x14ac:dyDescent="0.2">
      <c r="B115" s="3"/>
      <c r="C115" s="7"/>
      <c r="D115" s="7"/>
      <c r="E115" s="7"/>
      <c r="F115" s="7"/>
      <c r="G115" s="7"/>
      <c r="H115" s="7"/>
      <c r="I115" s="7"/>
      <c r="J115" s="7"/>
      <c r="K115" s="7"/>
      <c r="L115" s="7"/>
      <c r="O115" s="7"/>
    </row>
    <row r="116" spans="2:15" ht="6.75" customHeight="1" x14ac:dyDescent="0.2">
      <c r="B116" s="3"/>
      <c r="C116" s="7"/>
      <c r="D116" s="7"/>
      <c r="E116" s="7"/>
      <c r="F116" s="7"/>
      <c r="G116" s="7"/>
      <c r="H116" s="7"/>
      <c r="I116" s="7"/>
      <c r="J116" s="7"/>
      <c r="K116" s="7"/>
      <c r="L116" s="7"/>
      <c r="O116" s="7"/>
    </row>
    <row r="117" spans="2:15" ht="6.75" customHeight="1" x14ac:dyDescent="0.2">
      <c r="B117" s="3"/>
      <c r="C117" s="7"/>
      <c r="D117" s="7"/>
      <c r="E117" s="7"/>
      <c r="F117" s="7"/>
      <c r="G117" s="7"/>
      <c r="H117" s="7"/>
      <c r="I117" s="7"/>
      <c r="J117" s="7"/>
      <c r="K117" s="7"/>
      <c r="L117" s="7"/>
      <c r="O117" s="7"/>
    </row>
    <row r="118" spans="2:15" ht="6.75" customHeight="1" x14ac:dyDescent="0.2">
      <c r="B118" s="3"/>
      <c r="C118" s="7"/>
      <c r="D118" s="7"/>
      <c r="E118" s="7"/>
      <c r="F118" s="7"/>
      <c r="G118" s="7"/>
      <c r="H118" s="7"/>
      <c r="I118" s="7"/>
      <c r="J118" s="7"/>
      <c r="K118" s="7"/>
      <c r="L118" s="7"/>
      <c r="O118" s="7"/>
    </row>
    <row r="119" spans="2:15" ht="6.75" customHeight="1" x14ac:dyDescent="0.2">
      <c r="B119" s="3"/>
      <c r="C119" s="7"/>
      <c r="D119" s="7"/>
      <c r="E119" s="7"/>
      <c r="F119" s="7"/>
      <c r="G119" s="7"/>
      <c r="H119" s="7"/>
      <c r="I119" s="7"/>
      <c r="J119" s="7"/>
      <c r="K119" s="7"/>
      <c r="L119" s="7"/>
      <c r="O119" s="7"/>
    </row>
    <row r="120" spans="2:15" ht="6.75" customHeight="1" x14ac:dyDescent="0.2">
      <c r="B120" s="3"/>
      <c r="C120" s="7"/>
      <c r="D120" s="7"/>
      <c r="E120" s="7"/>
      <c r="F120" s="7"/>
      <c r="G120" s="7"/>
      <c r="H120" s="7"/>
      <c r="I120" s="7"/>
      <c r="J120" s="7"/>
      <c r="K120" s="7"/>
      <c r="L120" s="7"/>
      <c r="O120" s="7"/>
    </row>
    <row r="121" spans="2:15" ht="6.75" customHeight="1" x14ac:dyDescent="0.2">
      <c r="B121" s="3"/>
      <c r="C121" s="7"/>
      <c r="D121" s="7"/>
      <c r="E121" s="7"/>
      <c r="F121" s="7"/>
      <c r="G121" s="7"/>
      <c r="H121" s="7"/>
      <c r="I121" s="7"/>
      <c r="J121" s="7"/>
      <c r="K121" s="7"/>
      <c r="L121" s="7"/>
      <c r="O121" s="7"/>
    </row>
    <row r="122" spans="2:15" ht="6.75" customHeight="1" x14ac:dyDescent="0.2">
      <c r="B122" s="3"/>
      <c r="C122" s="7"/>
      <c r="D122" s="7"/>
      <c r="E122" s="7"/>
      <c r="F122" s="7"/>
      <c r="G122" s="7"/>
      <c r="H122" s="7"/>
      <c r="I122" s="7"/>
      <c r="J122" s="7"/>
      <c r="K122" s="7"/>
      <c r="L122" s="7"/>
      <c r="O122" s="7"/>
    </row>
    <row r="123" spans="2:15" ht="6.75" customHeight="1" x14ac:dyDescent="0.2">
      <c r="B123" s="3"/>
      <c r="C123" s="7"/>
      <c r="D123" s="7"/>
      <c r="E123" s="7"/>
      <c r="F123" s="7"/>
      <c r="G123" s="7"/>
      <c r="H123" s="7"/>
      <c r="I123" s="7"/>
      <c r="J123" s="7"/>
      <c r="K123" s="7"/>
      <c r="L123" s="7"/>
      <c r="O123" s="7"/>
    </row>
    <row r="124" spans="2:15" ht="6.75" customHeight="1" x14ac:dyDescent="0.2">
      <c r="B124" s="3"/>
      <c r="C124" s="7"/>
      <c r="D124" s="7"/>
      <c r="E124" s="7"/>
      <c r="F124" s="7"/>
      <c r="G124" s="7"/>
      <c r="H124" s="7"/>
      <c r="I124" s="7"/>
      <c r="J124" s="7"/>
      <c r="K124" s="7"/>
      <c r="L124" s="7"/>
      <c r="O124" s="7"/>
    </row>
    <row r="125" spans="2:15" ht="6.75" customHeight="1" x14ac:dyDescent="0.2">
      <c r="B125" s="3"/>
      <c r="C125" s="7"/>
      <c r="D125" s="7"/>
      <c r="E125" s="7"/>
      <c r="F125" s="7"/>
      <c r="G125" s="7"/>
      <c r="H125" s="7"/>
      <c r="I125" s="7"/>
      <c r="J125" s="7"/>
      <c r="K125" s="7"/>
      <c r="L125" s="7"/>
      <c r="O125" s="7"/>
    </row>
    <row r="126" spans="2:15" ht="6.75" customHeight="1" x14ac:dyDescent="0.2">
      <c r="B126" s="3"/>
      <c r="C126" s="7"/>
      <c r="D126" s="7"/>
      <c r="E126" s="7"/>
      <c r="F126" s="7"/>
      <c r="G126" s="7"/>
      <c r="H126" s="7"/>
      <c r="I126" s="7"/>
      <c r="J126" s="7"/>
      <c r="K126" s="7"/>
      <c r="L126" s="7"/>
      <c r="O126" s="7"/>
    </row>
    <row r="127" spans="2:15" ht="6.75" customHeight="1" x14ac:dyDescent="0.2">
      <c r="B127" s="3"/>
      <c r="C127" s="7"/>
      <c r="D127" s="7"/>
      <c r="E127" s="7"/>
      <c r="F127" s="7"/>
      <c r="G127" s="7"/>
      <c r="H127" s="7"/>
      <c r="I127" s="7"/>
      <c r="J127" s="7"/>
      <c r="K127" s="7"/>
      <c r="L127" s="7"/>
      <c r="O127" s="7"/>
    </row>
    <row r="128" spans="2:15" ht="6.75" customHeight="1" x14ac:dyDescent="0.2">
      <c r="B128" s="3"/>
      <c r="C128" s="7"/>
      <c r="D128" s="7"/>
      <c r="E128" s="7"/>
      <c r="F128" s="7"/>
      <c r="G128" s="7"/>
      <c r="H128" s="7"/>
      <c r="I128" s="7"/>
      <c r="J128" s="7"/>
      <c r="K128" s="7"/>
      <c r="L128" s="7"/>
      <c r="O128" s="7"/>
    </row>
    <row r="129" spans="2:15" ht="6.75" customHeight="1" x14ac:dyDescent="0.2">
      <c r="B129" s="3"/>
      <c r="C129" s="7"/>
      <c r="D129" s="7"/>
      <c r="E129" s="7"/>
      <c r="F129" s="7"/>
      <c r="G129" s="7"/>
      <c r="H129" s="7"/>
      <c r="I129" s="7"/>
      <c r="J129" s="7"/>
      <c r="K129" s="7"/>
      <c r="L129" s="7"/>
      <c r="O129" s="7"/>
    </row>
    <row r="130" spans="2:15" ht="6.75" customHeight="1" x14ac:dyDescent="0.2">
      <c r="B130" s="3"/>
      <c r="C130" s="7"/>
      <c r="D130" s="7"/>
      <c r="E130" s="7"/>
      <c r="F130" s="7"/>
      <c r="G130" s="7"/>
      <c r="H130" s="7"/>
      <c r="I130" s="7"/>
      <c r="J130" s="7"/>
      <c r="K130" s="7"/>
      <c r="L130" s="7"/>
      <c r="O130" s="7"/>
    </row>
    <row r="131" spans="2:15" ht="6.75" customHeight="1" x14ac:dyDescent="0.2">
      <c r="B131" s="3"/>
      <c r="C131" s="7"/>
      <c r="D131" s="7"/>
      <c r="E131" s="7"/>
      <c r="F131" s="7"/>
      <c r="G131" s="7"/>
      <c r="H131" s="7"/>
      <c r="I131" s="7"/>
      <c r="J131" s="7"/>
      <c r="K131" s="7"/>
      <c r="L131" s="7"/>
      <c r="O131" s="7"/>
    </row>
    <row r="132" spans="2:15" ht="6.75" customHeight="1" x14ac:dyDescent="0.2">
      <c r="B132" s="3"/>
      <c r="C132" s="7"/>
      <c r="D132" s="7"/>
      <c r="E132" s="7"/>
      <c r="F132" s="7"/>
      <c r="G132" s="7"/>
      <c r="H132" s="7"/>
      <c r="I132" s="7"/>
      <c r="J132" s="7"/>
      <c r="K132" s="7"/>
      <c r="L132" s="7"/>
      <c r="O132" s="7"/>
    </row>
    <row r="133" spans="2:15" ht="6.75" customHeight="1" x14ac:dyDescent="0.2">
      <c r="B133" s="3"/>
      <c r="C133" s="7"/>
      <c r="D133" s="7"/>
      <c r="E133" s="7"/>
      <c r="F133" s="7"/>
      <c r="G133" s="7"/>
      <c r="H133" s="7"/>
      <c r="I133" s="7"/>
      <c r="J133" s="7"/>
      <c r="K133" s="7"/>
      <c r="L133" s="7"/>
      <c r="O133" s="7"/>
    </row>
    <row r="134" spans="2:15" ht="6.75" customHeight="1" x14ac:dyDescent="0.2">
      <c r="B134" s="3"/>
      <c r="C134" s="7"/>
      <c r="D134" s="7"/>
      <c r="E134" s="7"/>
      <c r="F134" s="7"/>
      <c r="G134" s="7"/>
      <c r="H134" s="7"/>
      <c r="I134" s="7"/>
      <c r="J134" s="7"/>
      <c r="K134" s="7"/>
      <c r="L134" s="7"/>
      <c r="O134" s="7"/>
    </row>
    <row r="135" spans="2:15" ht="6.75" customHeight="1" x14ac:dyDescent="0.2">
      <c r="B135" s="3"/>
      <c r="C135" s="7"/>
      <c r="D135" s="7"/>
      <c r="E135" s="7"/>
      <c r="F135" s="7"/>
      <c r="G135" s="7"/>
      <c r="H135" s="7"/>
      <c r="I135" s="7"/>
      <c r="J135" s="7"/>
      <c r="K135" s="7"/>
      <c r="L135" s="7"/>
      <c r="O135" s="7"/>
    </row>
    <row r="136" spans="2:15" ht="6.75" customHeight="1" x14ac:dyDescent="0.2">
      <c r="B136" s="3"/>
      <c r="C136" s="7"/>
      <c r="D136" s="7"/>
      <c r="E136" s="7"/>
      <c r="F136" s="7"/>
      <c r="G136" s="7"/>
      <c r="H136" s="7"/>
      <c r="I136" s="7"/>
      <c r="J136" s="7"/>
      <c r="K136" s="7"/>
      <c r="L136" s="7"/>
      <c r="O136" s="7"/>
    </row>
    <row r="137" spans="2:15" ht="6.75" customHeight="1" x14ac:dyDescent="0.2">
      <c r="B137" s="3"/>
      <c r="C137" s="7"/>
      <c r="D137" s="7"/>
      <c r="E137" s="7"/>
      <c r="F137" s="7"/>
      <c r="G137" s="7"/>
      <c r="H137" s="7"/>
      <c r="I137" s="7"/>
      <c r="J137" s="7"/>
      <c r="K137" s="7"/>
      <c r="L137" s="7"/>
      <c r="O137" s="7"/>
    </row>
    <row r="138" spans="2:15" ht="6.75" customHeight="1" x14ac:dyDescent="0.2">
      <c r="B138" s="3"/>
      <c r="C138" s="7"/>
      <c r="D138" s="7"/>
      <c r="E138" s="7"/>
      <c r="F138" s="7"/>
      <c r="G138" s="7"/>
      <c r="H138" s="7"/>
      <c r="I138" s="7"/>
      <c r="J138" s="7"/>
      <c r="K138" s="7"/>
      <c r="L138" s="7"/>
      <c r="O138" s="7"/>
    </row>
    <row r="139" spans="2:15" ht="6.75" customHeight="1" x14ac:dyDescent="0.2">
      <c r="B139" s="3"/>
      <c r="C139" s="7"/>
      <c r="D139" s="7"/>
      <c r="E139" s="7"/>
      <c r="F139" s="7"/>
      <c r="G139" s="7"/>
      <c r="H139" s="7"/>
      <c r="I139" s="7"/>
      <c r="J139" s="7"/>
      <c r="K139" s="7"/>
      <c r="L139" s="7"/>
      <c r="O139" s="7"/>
    </row>
    <row r="140" spans="2:15" ht="6.75" customHeight="1" x14ac:dyDescent="0.2">
      <c r="B140" s="3"/>
      <c r="C140" s="7"/>
      <c r="D140" s="7"/>
      <c r="E140" s="7"/>
      <c r="F140" s="7"/>
      <c r="G140" s="7"/>
      <c r="H140" s="7"/>
      <c r="I140" s="7"/>
      <c r="J140" s="7"/>
      <c r="K140" s="7"/>
      <c r="L140" s="7"/>
      <c r="O140" s="7"/>
    </row>
    <row r="141" spans="2:15" ht="6.75" customHeight="1" x14ac:dyDescent="0.2">
      <c r="B141" s="3"/>
      <c r="C141" s="7"/>
      <c r="D141" s="7"/>
      <c r="E141" s="7"/>
      <c r="F141" s="7"/>
      <c r="G141" s="7"/>
      <c r="H141" s="7"/>
      <c r="I141" s="7"/>
      <c r="J141" s="7"/>
      <c r="K141" s="7"/>
      <c r="L141" s="7"/>
      <c r="O141" s="7"/>
    </row>
    <row r="142" spans="2:15" ht="6.75" customHeight="1" x14ac:dyDescent="0.2">
      <c r="B142" s="3"/>
      <c r="C142" s="7"/>
      <c r="D142" s="7"/>
      <c r="E142" s="7"/>
      <c r="F142" s="7"/>
      <c r="G142" s="7"/>
      <c r="H142" s="7"/>
      <c r="I142" s="7"/>
      <c r="J142" s="7"/>
      <c r="K142" s="7"/>
      <c r="L142" s="7"/>
      <c r="O142" s="7"/>
    </row>
    <row r="143" spans="2:15" ht="6.75" customHeight="1" x14ac:dyDescent="0.2">
      <c r="B143" s="3"/>
      <c r="C143" s="7"/>
      <c r="D143" s="7"/>
      <c r="E143" s="7"/>
      <c r="F143" s="7"/>
      <c r="G143" s="7"/>
      <c r="H143" s="7"/>
      <c r="I143" s="7"/>
      <c r="J143" s="7"/>
      <c r="K143" s="7"/>
      <c r="L143" s="7"/>
      <c r="O143" s="7"/>
    </row>
    <row r="144" spans="2:15" ht="6.75" customHeight="1" x14ac:dyDescent="0.2">
      <c r="B144" s="3"/>
      <c r="C144" s="7"/>
      <c r="D144" s="7"/>
      <c r="E144" s="7"/>
      <c r="F144" s="7"/>
      <c r="G144" s="7"/>
      <c r="H144" s="7"/>
      <c r="I144" s="7"/>
      <c r="J144" s="7"/>
      <c r="K144" s="7"/>
      <c r="L144" s="7"/>
      <c r="O144" s="7"/>
    </row>
    <row r="145" spans="2:15" ht="6.75" customHeight="1" x14ac:dyDescent="0.2">
      <c r="B145" s="3"/>
      <c r="C145" s="7"/>
      <c r="D145" s="7"/>
      <c r="E145" s="7"/>
      <c r="F145" s="7"/>
      <c r="G145" s="7"/>
      <c r="H145" s="7"/>
      <c r="I145" s="7"/>
      <c r="J145" s="7"/>
      <c r="K145" s="7"/>
      <c r="L145" s="7"/>
      <c r="O145" s="7"/>
    </row>
    <row r="146" spans="2:15" ht="6.75" customHeight="1" x14ac:dyDescent="0.2">
      <c r="B146" s="3"/>
      <c r="C146" s="7"/>
      <c r="D146" s="7"/>
      <c r="E146" s="7"/>
      <c r="F146" s="7"/>
      <c r="G146" s="7"/>
      <c r="H146" s="7"/>
      <c r="I146" s="7"/>
      <c r="J146" s="7"/>
      <c r="K146" s="7"/>
      <c r="L146" s="7"/>
      <c r="O146" s="7"/>
    </row>
    <row r="147" spans="2:15" ht="6.75" customHeight="1" x14ac:dyDescent="0.2">
      <c r="B147" s="3"/>
      <c r="C147" s="7"/>
      <c r="D147" s="7"/>
      <c r="E147" s="7"/>
      <c r="F147" s="7"/>
      <c r="G147" s="7"/>
      <c r="H147" s="7"/>
      <c r="I147" s="7"/>
      <c r="J147" s="7"/>
      <c r="K147" s="7"/>
      <c r="L147" s="7"/>
      <c r="O147" s="7"/>
    </row>
    <row r="148" spans="2:15" ht="6.75" customHeight="1" x14ac:dyDescent="0.2">
      <c r="B148" s="3"/>
      <c r="C148" s="7"/>
      <c r="D148" s="7"/>
      <c r="E148" s="7"/>
      <c r="F148" s="7"/>
      <c r="G148" s="7"/>
      <c r="H148" s="7"/>
      <c r="I148" s="7"/>
      <c r="J148" s="7"/>
      <c r="K148" s="7"/>
      <c r="L148" s="7"/>
      <c r="O148" s="7"/>
    </row>
    <row r="149" spans="2:15" ht="6.75" customHeight="1" x14ac:dyDescent="0.2">
      <c r="B149" s="3"/>
      <c r="C149" s="7"/>
      <c r="D149" s="7"/>
      <c r="E149" s="7"/>
      <c r="F149" s="7"/>
      <c r="G149" s="7"/>
      <c r="H149" s="7"/>
      <c r="I149" s="7"/>
      <c r="J149" s="7"/>
      <c r="K149" s="7"/>
      <c r="L149" s="7"/>
      <c r="O149" s="7"/>
    </row>
    <row r="150" spans="2:15" ht="6.75" customHeight="1" x14ac:dyDescent="0.2">
      <c r="B150" s="3"/>
      <c r="C150" s="7"/>
      <c r="D150" s="7"/>
      <c r="E150" s="7"/>
      <c r="F150" s="7"/>
      <c r="G150" s="7"/>
      <c r="H150" s="7"/>
      <c r="I150" s="7"/>
      <c r="J150" s="7"/>
      <c r="K150" s="7"/>
      <c r="L150" s="7"/>
      <c r="O150" s="7"/>
    </row>
    <row r="151" spans="2:15" ht="6.75" customHeight="1" x14ac:dyDescent="0.2">
      <c r="B151" s="3"/>
      <c r="C151" s="7"/>
      <c r="D151" s="7"/>
      <c r="E151" s="7"/>
      <c r="F151" s="7"/>
      <c r="G151" s="7"/>
      <c r="H151" s="7"/>
      <c r="I151" s="7"/>
      <c r="J151" s="7"/>
      <c r="K151" s="7"/>
      <c r="L151" s="7"/>
      <c r="O151" s="7"/>
    </row>
    <row r="152" spans="2:15" ht="6.75" customHeight="1" x14ac:dyDescent="0.2">
      <c r="B152" s="3"/>
      <c r="C152" s="7"/>
      <c r="D152" s="7"/>
      <c r="E152" s="7"/>
      <c r="F152" s="7"/>
      <c r="G152" s="7"/>
      <c r="H152" s="7"/>
      <c r="I152" s="7"/>
      <c r="J152" s="7"/>
      <c r="K152" s="7"/>
      <c r="L152" s="7"/>
      <c r="O152" s="7"/>
    </row>
    <row r="153" spans="2:15" ht="6.75" customHeight="1" x14ac:dyDescent="0.2">
      <c r="B153" s="3"/>
      <c r="C153" s="7"/>
      <c r="D153" s="7"/>
      <c r="E153" s="7"/>
      <c r="F153" s="7"/>
      <c r="G153" s="7"/>
      <c r="H153" s="7"/>
      <c r="I153" s="7"/>
      <c r="J153" s="7"/>
      <c r="K153" s="7"/>
      <c r="L153" s="7"/>
      <c r="O153" s="7"/>
    </row>
    <row r="154" spans="2:15" ht="6.75" customHeight="1" x14ac:dyDescent="0.2">
      <c r="B154" s="3"/>
      <c r="C154" s="7"/>
      <c r="D154" s="7"/>
      <c r="E154" s="7"/>
      <c r="F154" s="7"/>
      <c r="G154" s="7"/>
      <c r="H154" s="7"/>
      <c r="I154" s="7"/>
      <c r="J154" s="7"/>
      <c r="K154" s="7"/>
      <c r="L154" s="7"/>
      <c r="O154" s="7"/>
    </row>
    <row r="155" spans="2:15" ht="6.75" customHeight="1" x14ac:dyDescent="0.2">
      <c r="B155" s="3"/>
      <c r="C155" s="7"/>
      <c r="D155" s="7"/>
      <c r="E155" s="7"/>
      <c r="F155" s="7"/>
      <c r="G155" s="7"/>
      <c r="H155" s="7"/>
      <c r="I155" s="7"/>
      <c r="J155" s="7"/>
      <c r="K155" s="7"/>
      <c r="L155" s="7"/>
      <c r="O155" s="7"/>
    </row>
    <row r="156" spans="2:15" ht="6.75" customHeight="1" x14ac:dyDescent="0.2">
      <c r="B156" s="3"/>
      <c r="C156" s="7"/>
      <c r="D156" s="7"/>
      <c r="E156" s="7"/>
      <c r="F156" s="7"/>
      <c r="G156" s="7"/>
      <c r="H156" s="7"/>
      <c r="I156" s="7"/>
      <c r="J156" s="7"/>
      <c r="K156" s="7"/>
      <c r="L156" s="7"/>
      <c r="O156" s="7"/>
    </row>
    <row r="157" spans="2:15" ht="6.75" customHeight="1" x14ac:dyDescent="0.2">
      <c r="B157" s="3"/>
      <c r="C157" s="7"/>
      <c r="D157" s="7"/>
      <c r="E157" s="7"/>
      <c r="F157" s="7"/>
      <c r="G157" s="7"/>
      <c r="H157" s="7"/>
      <c r="I157" s="7"/>
      <c r="J157" s="7"/>
      <c r="K157" s="7"/>
      <c r="L157" s="7"/>
      <c r="O157" s="7"/>
    </row>
    <row r="158" spans="2:15" ht="6.75" customHeight="1" x14ac:dyDescent="0.2">
      <c r="B158" s="3"/>
      <c r="C158" s="7"/>
      <c r="D158" s="7"/>
      <c r="E158" s="7"/>
      <c r="F158" s="7"/>
      <c r="G158" s="7"/>
      <c r="H158" s="7"/>
      <c r="I158" s="7"/>
      <c r="J158" s="7"/>
      <c r="K158" s="7"/>
      <c r="L158" s="7"/>
      <c r="O158" s="7"/>
    </row>
    <row r="159" spans="2:15" ht="6.75" customHeight="1" x14ac:dyDescent="0.2">
      <c r="B159" s="3"/>
      <c r="C159" s="7"/>
      <c r="D159" s="7"/>
      <c r="E159" s="7"/>
      <c r="F159" s="7"/>
      <c r="G159" s="7"/>
      <c r="H159" s="7"/>
      <c r="I159" s="7"/>
      <c r="J159" s="7"/>
      <c r="K159" s="7"/>
      <c r="L159" s="7"/>
      <c r="O159" s="7"/>
    </row>
    <row r="160" spans="2:15" ht="6.75" customHeight="1" x14ac:dyDescent="0.2">
      <c r="B160" s="3"/>
      <c r="C160" s="7"/>
      <c r="D160" s="7"/>
      <c r="E160" s="7"/>
      <c r="F160" s="7"/>
      <c r="G160" s="7"/>
      <c r="H160" s="7"/>
      <c r="I160" s="7"/>
      <c r="J160" s="7"/>
      <c r="K160" s="7"/>
      <c r="L160" s="7"/>
      <c r="O160" s="7"/>
    </row>
    <row r="161" spans="2:15" ht="6.75" customHeight="1" x14ac:dyDescent="0.2">
      <c r="B161" s="3"/>
      <c r="C161" s="7"/>
      <c r="D161" s="7"/>
      <c r="E161" s="7"/>
      <c r="F161" s="7"/>
      <c r="G161" s="7"/>
      <c r="H161" s="7"/>
      <c r="I161" s="7"/>
      <c r="J161" s="7"/>
      <c r="K161" s="7"/>
      <c r="L161" s="7"/>
      <c r="O161" s="7"/>
    </row>
    <row r="162" spans="2:15" ht="6.75" customHeight="1" x14ac:dyDescent="0.2">
      <c r="B162" s="3"/>
      <c r="C162" s="7"/>
      <c r="D162" s="7"/>
      <c r="E162" s="7"/>
      <c r="F162" s="7"/>
      <c r="G162" s="7"/>
      <c r="H162" s="7"/>
      <c r="I162" s="7"/>
      <c r="J162" s="7"/>
      <c r="K162" s="7"/>
      <c r="L162" s="7"/>
      <c r="O162" s="7"/>
    </row>
    <row r="163" spans="2:15" ht="6.75" customHeight="1" x14ac:dyDescent="0.2">
      <c r="B163" s="3"/>
      <c r="C163" s="7"/>
      <c r="D163" s="7"/>
      <c r="E163" s="7"/>
      <c r="F163" s="7"/>
      <c r="G163" s="7"/>
      <c r="H163" s="7"/>
      <c r="I163" s="7"/>
      <c r="J163" s="7"/>
      <c r="K163" s="7"/>
      <c r="L163" s="7"/>
      <c r="O163" s="7"/>
    </row>
  </sheetData>
  <sheetProtection password="C90B" sheet="1" objects="1" scenarios="1" selectLockedCells="1"/>
  <mergeCells count="510">
    <mergeCell ref="A1:BK1"/>
    <mergeCell ref="A2:BK2"/>
    <mergeCell ref="A3:BK3"/>
    <mergeCell ref="A4:BK4"/>
    <mergeCell ref="A5:BK5"/>
    <mergeCell ref="A7:A8"/>
    <mergeCell ref="B7:K8"/>
    <mergeCell ref="L7:L8"/>
    <mergeCell ref="Z10:Z11"/>
    <mergeCell ref="A11:A12"/>
    <mergeCell ref="B11:B12"/>
    <mergeCell ref="C11:C12"/>
    <mergeCell ref="D11:D12"/>
    <mergeCell ref="E11:E12"/>
    <mergeCell ref="F11:F12"/>
    <mergeCell ref="G11:G12"/>
    <mergeCell ref="G9:G10"/>
    <mergeCell ref="H9:H10"/>
    <mergeCell ref="I9:I10"/>
    <mergeCell ref="J9:J10"/>
    <mergeCell ref="K9:K10"/>
    <mergeCell ref="L9:L10"/>
    <mergeCell ref="A9:A10"/>
    <mergeCell ref="B9:B10"/>
    <mergeCell ref="A13:A14"/>
    <mergeCell ref="B13:K14"/>
    <mergeCell ref="L13:L14"/>
    <mergeCell ref="O10:O11"/>
    <mergeCell ref="P10:Y11"/>
    <mergeCell ref="A17:A18"/>
    <mergeCell ref="B17:K18"/>
    <mergeCell ref="L17:L18"/>
    <mergeCell ref="AC15:AC16"/>
    <mergeCell ref="C9:C10"/>
    <mergeCell ref="D9:D10"/>
    <mergeCell ref="E9:E10"/>
    <mergeCell ref="F9:F10"/>
    <mergeCell ref="S14:S15"/>
    <mergeCell ref="T14:T15"/>
    <mergeCell ref="H11:H12"/>
    <mergeCell ref="I11:I12"/>
    <mergeCell ref="J11:J12"/>
    <mergeCell ref="K11:K12"/>
    <mergeCell ref="L11:L12"/>
    <mergeCell ref="AD15:AM16"/>
    <mergeCell ref="AN15:AN16"/>
    <mergeCell ref="O16:O17"/>
    <mergeCell ref="P16:P17"/>
    <mergeCell ref="Q16:Q17"/>
    <mergeCell ref="R16:R17"/>
    <mergeCell ref="S16:S17"/>
    <mergeCell ref="T16:T17"/>
    <mergeCell ref="U16:U17"/>
    <mergeCell ref="U14:U15"/>
    <mergeCell ref="V14:V15"/>
    <mergeCell ref="W14:W15"/>
    <mergeCell ref="X14:X15"/>
    <mergeCell ref="Y14:Y15"/>
    <mergeCell ref="Z14:Z15"/>
    <mergeCell ref="O14:O15"/>
    <mergeCell ref="P14:P15"/>
    <mergeCell ref="Q14:Q15"/>
    <mergeCell ref="R14:R15"/>
    <mergeCell ref="AQ17:BB18"/>
    <mergeCell ref="A19:A20"/>
    <mergeCell ref="B19:B20"/>
    <mergeCell ref="C19:C20"/>
    <mergeCell ref="D19:D20"/>
    <mergeCell ref="E19:E20"/>
    <mergeCell ref="F19:F20"/>
    <mergeCell ref="G19:G20"/>
    <mergeCell ref="H19:H20"/>
    <mergeCell ref="I19:I20"/>
    <mergeCell ref="V16:V17"/>
    <mergeCell ref="W16:W17"/>
    <mergeCell ref="X16:X17"/>
    <mergeCell ref="Y16:Y17"/>
    <mergeCell ref="Z16:Z17"/>
    <mergeCell ref="AQ20:AQ21"/>
    <mergeCell ref="AR20:BA21"/>
    <mergeCell ref="BB20:BB21"/>
    <mergeCell ref="A21:A22"/>
    <mergeCell ref="B21:B22"/>
    <mergeCell ref="C21:C22"/>
    <mergeCell ref="D21:D22"/>
    <mergeCell ref="E21:E22"/>
    <mergeCell ref="F21:F22"/>
    <mergeCell ref="G21:G22"/>
    <mergeCell ref="J19:J20"/>
    <mergeCell ref="K19:K20"/>
    <mergeCell ref="L19:L20"/>
    <mergeCell ref="O20:O21"/>
    <mergeCell ref="P20:Y21"/>
    <mergeCell ref="Z20:Z21"/>
    <mergeCell ref="H21:H22"/>
    <mergeCell ref="I21:I22"/>
    <mergeCell ref="J21:J22"/>
    <mergeCell ref="K21:K22"/>
    <mergeCell ref="L21:L22"/>
    <mergeCell ref="A23:A24"/>
    <mergeCell ref="B23:K24"/>
    <mergeCell ref="L23:L24"/>
    <mergeCell ref="AK24:AK25"/>
    <mergeCell ref="AL24:AL25"/>
    <mergeCell ref="AM24:AM25"/>
    <mergeCell ref="AN24:AN25"/>
    <mergeCell ref="AC24:AC25"/>
    <mergeCell ref="AD24:AD25"/>
    <mergeCell ref="AE24:AE25"/>
    <mergeCell ref="AF24:AF25"/>
    <mergeCell ref="AG24:AG25"/>
    <mergeCell ref="AH24:AH25"/>
    <mergeCell ref="BE25:BE26"/>
    <mergeCell ref="BF25:BJ26"/>
    <mergeCell ref="BK25:BK26"/>
    <mergeCell ref="AC26:AC27"/>
    <mergeCell ref="AD26:AD27"/>
    <mergeCell ref="AE26:AE27"/>
    <mergeCell ref="AF26:AF27"/>
    <mergeCell ref="AG26:AG27"/>
    <mergeCell ref="AH26:AH27"/>
    <mergeCell ref="AI26:AI27"/>
    <mergeCell ref="AW24:AW25"/>
    <mergeCell ref="AX24:AX25"/>
    <mergeCell ref="AY24:AY25"/>
    <mergeCell ref="AZ24:AZ25"/>
    <mergeCell ref="BA24:BA25"/>
    <mergeCell ref="BB24:BB25"/>
    <mergeCell ref="AQ24:AQ25"/>
    <mergeCell ref="AR24:AR25"/>
    <mergeCell ref="AS24:AS25"/>
    <mergeCell ref="AT24:AT25"/>
    <mergeCell ref="AU24:AU25"/>
    <mergeCell ref="AV24:AV25"/>
    <mergeCell ref="AI24:AI25"/>
    <mergeCell ref="AJ24:AJ25"/>
    <mergeCell ref="E29:E30"/>
    <mergeCell ref="F29:F30"/>
    <mergeCell ref="AX26:AX27"/>
    <mergeCell ref="AY26:AY27"/>
    <mergeCell ref="AZ26:AZ27"/>
    <mergeCell ref="BA26:BA27"/>
    <mergeCell ref="BB26:BB27"/>
    <mergeCell ref="A27:A28"/>
    <mergeCell ref="B27:K28"/>
    <mergeCell ref="L27:L28"/>
    <mergeCell ref="AR26:AR27"/>
    <mergeCell ref="AS26:AS27"/>
    <mergeCell ref="AT26:AT27"/>
    <mergeCell ref="AU26:AU27"/>
    <mergeCell ref="AV26:AV27"/>
    <mergeCell ref="AW26:AW27"/>
    <mergeCell ref="AJ26:AJ27"/>
    <mergeCell ref="AK26:AK27"/>
    <mergeCell ref="AL26:AL27"/>
    <mergeCell ref="AM26:AM27"/>
    <mergeCell ref="AN26:AN27"/>
    <mergeCell ref="AQ26:AQ27"/>
    <mergeCell ref="Z30:Z31"/>
    <mergeCell ref="AQ30:AQ31"/>
    <mergeCell ref="AR30:BA31"/>
    <mergeCell ref="BB30:BB31"/>
    <mergeCell ref="G29:G30"/>
    <mergeCell ref="H29:H30"/>
    <mergeCell ref="I29:I30"/>
    <mergeCell ref="J29:J30"/>
    <mergeCell ref="K29:K30"/>
    <mergeCell ref="L29:L30"/>
    <mergeCell ref="V34:V35"/>
    <mergeCell ref="AN35:AN36"/>
    <mergeCell ref="O36:O37"/>
    <mergeCell ref="P36:P37"/>
    <mergeCell ref="Q36:Q37"/>
    <mergeCell ref="R36:R37"/>
    <mergeCell ref="S36:S37"/>
    <mergeCell ref="T36:T37"/>
    <mergeCell ref="U36:U37"/>
    <mergeCell ref="V36:V37"/>
    <mergeCell ref="W36:W37"/>
    <mergeCell ref="X34:X35"/>
    <mergeCell ref="Y34:Y35"/>
    <mergeCell ref="Z34:Z35"/>
    <mergeCell ref="AC35:AC36"/>
    <mergeCell ref="AD35:AM36"/>
    <mergeCell ref="A33:A34"/>
    <mergeCell ref="B33:K34"/>
    <mergeCell ref="L33:L34"/>
    <mergeCell ref="O34:O35"/>
    <mergeCell ref="P34:P35"/>
    <mergeCell ref="G31:G32"/>
    <mergeCell ref="H31:H32"/>
    <mergeCell ref="I31:I32"/>
    <mergeCell ref="J31:J32"/>
    <mergeCell ref="K31:K32"/>
    <mergeCell ref="L31:L32"/>
    <mergeCell ref="A31:A32"/>
    <mergeCell ref="B31:B32"/>
    <mergeCell ref="C31:C32"/>
    <mergeCell ref="D31:D32"/>
    <mergeCell ref="E31:E32"/>
    <mergeCell ref="F31:F32"/>
    <mergeCell ref="O30:O31"/>
    <mergeCell ref="P30:Y31"/>
    <mergeCell ref="A29:A30"/>
    <mergeCell ref="B29:B30"/>
    <mergeCell ref="C29:C30"/>
    <mergeCell ref="D29:D30"/>
    <mergeCell ref="W34:W35"/>
    <mergeCell ref="X36:X37"/>
    <mergeCell ref="Y36:Y37"/>
    <mergeCell ref="Z36:Z37"/>
    <mergeCell ref="Q34:Q35"/>
    <mergeCell ref="R34:R35"/>
    <mergeCell ref="S34:S35"/>
    <mergeCell ref="T34:T35"/>
    <mergeCell ref="U34:U35"/>
    <mergeCell ref="F41:F42"/>
    <mergeCell ref="G39:G40"/>
    <mergeCell ref="H39:H40"/>
    <mergeCell ref="I39:I40"/>
    <mergeCell ref="J39:J40"/>
    <mergeCell ref="K39:K40"/>
    <mergeCell ref="L39:L40"/>
    <mergeCell ref="A37:A38"/>
    <mergeCell ref="B37:K38"/>
    <mergeCell ref="L37:L38"/>
    <mergeCell ref="A39:A40"/>
    <mergeCell ref="B39:B40"/>
    <mergeCell ref="C39:C40"/>
    <mergeCell ref="D39:D40"/>
    <mergeCell ref="E39:E40"/>
    <mergeCell ref="F39:F40"/>
    <mergeCell ref="BE42:BE43"/>
    <mergeCell ref="BF42:BJ43"/>
    <mergeCell ref="BK42:BK43"/>
    <mergeCell ref="A43:A44"/>
    <mergeCell ref="B43:K44"/>
    <mergeCell ref="L43:L44"/>
    <mergeCell ref="BE44:BE45"/>
    <mergeCell ref="BF44:BJ45"/>
    <mergeCell ref="BK44:BK45"/>
    <mergeCell ref="G41:G42"/>
    <mergeCell ref="H41:H42"/>
    <mergeCell ref="I41:I42"/>
    <mergeCell ref="J41:J42"/>
    <mergeCell ref="K41:K42"/>
    <mergeCell ref="L41:L42"/>
    <mergeCell ref="O40:O41"/>
    <mergeCell ref="P40:Y41"/>
    <mergeCell ref="Z40:Z41"/>
    <mergeCell ref="BE40:BK41"/>
    <mergeCell ref="A41:A42"/>
    <mergeCell ref="B41:B42"/>
    <mergeCell ref="C41:C42"/>
    <mergeCell ref="D41:D42"/>
    <mergeCell ref="E41:E42"/>
    <mergeCell ref="BE46:BE47"/>
    <mergeCell ref="BF46:BJ47"/>
    <mergeCell ref="BK46:BK47"/>
    <mergeCell ref="A47:A48"/>
    <mergeCell ref="B47:K48"/>
    <mergeCell ref="L47:L48"/>
    <mergeCell ref="BE48:BE49"/>
    <mergeCell ref="BF48:BJ49"/>
    <mergeCell ref="BK48:BK49"/>
    <mergeCell ref="Z50:Z51"/>
    <mergeCell ref="A51:A52"/>
    <mergeCell ref="B51:B52"/>
    <mergeCell ref="C51:C52"/>
    <mergeCell ref="D51:D52"/>
    <mergeCell ref="E51:E52"/>
    <mergeCell ref="F51:F52"/>
    <mergeCell ref="G51:G52"/>
    <mergeCell ref="G49:G50"/>
    <mergeCell ref="H49:H50"/>
    <mergeCell ref="I49:I50"/>
    <mergeCell ref="J49:J50"/>
    <mergeCell ref="K49:K50"/>
    <mergeCell ref="L49:L50"/>
    <mergeCell ref="A49:A50"/>
    <mergeCell ref="B49:B50"/>
    <mergeCell ref="C49:C50"/>
    <mergeCell ref="D49:D50"/>
    <mergeCell ref="E49:E50"/>
    <mergeCell ref="F49:F50"/>
    <mergeCell ref="T54:T55"/>
    <mergeCell ref="H51:H52"/>
    <mergeCell ref="I51:I52"/>
    <mergeCell ref="J51:J52"/>
    <mergeCell ref="K51:K52"/>
    <mergeCell ref="L51:L52"/>
    <mergeCell ref="A53:A54"/>
    <mergeCell ref="B53:K54"/>
    <mergeCell ref="L53:L54"/>
    <mergeCell ref="O50:O51"/>
    <mergeCell ref="P50:Y51"/>
    <mergeCell ref="A57:A58"/>
    <mergeCell ref="B57:K58"/>
    <mergeCell ref="L57:L58"/>
    <mergeCell ref="AC55:AC56"/>
    <mergeCell ref="AD55:AM56"/>
    <mergeCell ref="AN55:AN56"/>
    <mergeCell ref="O56:O57"/>
    <mergeCell ref="P56:P57"/>
    <mergeCell ref="Q56:Q57"/>
    <mergeCell ref="R56:R57"/>
    <mergeCell ref="S56:S57"/>
    <mergeCell ref="T56:T57"/>
    <mergeCell ref="U56:U57"/>
    <mergeCell ref="U54:U55"/>
    <mergeCell ref="V54:V55"/>
    <mergeCell ref="W54:W55"/>
    <mergeCell ref="X54:X55"/>
    <mergeCell ref="Y54:Y55"/>
    <mergeCell ref="Z54:Z55"/>
    <mergeCell ref="O54:O55"/>
    <mergeCell ref="P54:P55"/>
    <mergeCell ref="Q54:Q55"/>
    <mergeCell ref="R54:R55"/>
    <mergeCell ref="S54:S55"/>
    <mergeCell ref="AQ57:BB58"/>
    <mergeCell ref="A59:A60"/>
    <mergeCell ref="B59:B60"/>
    <mergeCell ref="C59:C60"/>
    <mergeCell ref="D59:D60"/>
    <mergeCell ref="E59:E60"/>
    <mergeCell ref="F59:F60"/>
    <mergeCell ref="G59:G60"/>
    <mergeCell ref="H59:H60"/>
    <mergeCell ref="I59:I60"/>
    <mergeCell ref="V56:V57"/>
    <mergeCell ref="W56:W57"/>
    <mergeCell ref="X56:X57"/>
    <mergeCell ref="Y56:Y57"/>
    <mergeCell ref="Z56:Z57"/>
    <mergeCell ref="AQ60:AQ61"/>
    <mergeCell ref="AR60:BA61"/>
    <mergeCell ref="BB60:BB61"/>
    <mergeCell ref="A61:A62"/>
    <mergeCell ref="B61:B62"/>
    <mergeCell ref="C61:C62"/>
    <mergeCell ref="D61:D62"/>
    <mergeCell ref="E61:E62"/>
    <mergeCell ref="F61:F62"/>
    <mergeCell ref="G61:G62"/>
    <mergeCell ref="J59:J60"/>
    <mergeCell ref="K59:K60"/>
    <mergeCell ref="L59:L60"/>
    <mergeCell ref="O60:O61"/>
    <mergeCell ref="P60:Y61"/>
    <mergeCell ref="Z60:Z61"/>
    <mergeCell ref="H61:H62"/>
    <mergeCell ref="I61:I62"/>
    <mergeCell ref="J61:J62"/>
    <mergeCell ref="K61:K62"/>
    <mergeCell ref="L61:L62"/>
    <mergeCell ref="A63:A64"/>
    <mergeCell ref="B63:K64"/>
    <mergeCell ref="L63:L64"/>
    <mergeCell ref="AK64:AK65"/>
    <mergeCell ref="AL64:AL65"/>
    <mergeCell ref="AM64:AM65"/>
    <mergeCell ref="AN64:AN65"/>
    <mergeCell ref="AC64:AC65"/>
    <mergeCell ref="AD64:AD65"/>
    <mergeCell ref="AE64:AE65"/>
    <mergeCell ref="AF64:AF65"/>
    <mergeCell ref="AG64:AG65"/>
    <mergeCell ref="AH64:AH65"/>
    <mergeCell ref="BE65:BE66"/>
    <mergeCell ref="BF65:BJ66"/>
    <mergeCell ref="BK65:BK66"/>
    <mergeCell ref="AC66:AC67"/>
    <mergeCell ref="AD66:AD67"/>
    <mergeCell ref="AE66:AE67"/>
    <mergeCell ref="AF66:AF67"/>
    <mergeCell ref="AG66:AG67"/>
    <mergeCell ref="AH66:AH67"/>
    <mergeCell ref="AI66:AI67"/>
    <mergeCell ref="AW64:AW65"/>
    <mergeCell ref="AX64:AX65"/>
    <mergeCell ref="AY64:AY65"/>
    <mergeCell ref="AZ64:AZ65"/>
    <mergeCell ref="BA64:BA65"/>
    <mergeCell ref="BB64:BB65"/>
    <mergeCell ref="AQ64:AQ65"/>
    <mergeCell ref="AR64:AR65"/>
    <mergeCell ref="AS64:AS65"/>
    <mergeCell ref="AT64:AT65"/>
    <mergeCell ref="AU64:AU65"/>
    <mergeCell ref="AV64:AV65"/>
    <mergeCell ref="AI64:AI65"/>
    <mergeCell ref="AJ64:AJ65"/>
    <mergeCell ref="A67:A68"/>
    <mergeCell ref="B67:K68"/>
    <mergeCell ref="L67:L68"/>
    <mergeCell ref="AR66:AR67"/>
    <mergeCell ref="AS66:AS67"/>
    <mergeCell ref="AT66:AT67"/>
    <mergeCell ref="AU66:AU67"/>
    <mergeCell ref="AV66:AV67"/>
    <mergeCell ref="AW66:AW67"/>
    <mergeCell ref="AJ66:AJ67"/>
    <mergeCell ref="AK66:AK67"/>
    <mergeCell ref="AL66:AL67"/>
    <mergeCell ref="AM66:AM67"/>
    <mergeCell ref="AN66:AN67"/>
    <mergeCell ref="AQ66:AQ67"/>
    <mergeCell ref="AC75:AC76"/>
    <mergeCell ref="AD75:AM76"/>
    <mergeCell ref="E69:E70"/>
    <mergeCell ref="F69:F70"/>
    <mergeCell ref="AX66:AX67"/>
    <mergeCell ref="AY66:AY67"/>
    <mergeCell ref="AZ66:AZ67"/>
    <mergeCell ref="BA66:BA67"/>
    <mergeCell ref="BB66:BB67"/>
    <mergeCell ref="Z70:Z71"/>
    <mergeCell ref="AQ70:AQ71"/>
    <mergeCell ref="O70:O71"/>
    <mergeCell ref="P70:Y71"/>
    <mergeCell ref="I71:I72"/>
    <mergeCell ref="J71:J72"/>
    <mergeCell ref="K71:K72"/>
    <mergeCell ref="L71:L72"/>
    <mergeCell ref="X74:X75"/>
    <mergeCell ref="Y74:Y75"/>
    <mergeCell ref="Z74:Z75"/>
    <mergeCell ref="A69:A70"/>
    <mergeCell ref="B69:B70"/>
    <mergeCell ref="C69:C70"/>
    <mergeCell ref="D69:D70"/>
    <mergeCell ref="W74:W75"/>
    <mergeCell ref="AR70:BA71"/>
    <mergeCell ref="BB70:BB71"/>
    <mergeCell ref="G69:G70"/>
    <mergeCell ref="H69:H70"/>
    <mergeCell ref="I69:I70"/>
    <mergeCell ref="J69:J70"/>
    <mergeCell ref="K69:K70"/>
    <mergeCell ref="L69:L70"/>
    <mergeCell ref="V74:V75"/>
    <mergeCell ref="AN75:AN76"/>
    <mergeCell ref="O76:O77"/>
    <mergeCell ref="P76:P77"/>
    <mergeCell ref="Q76:Q77"/>
    <mergeCell ref="R76:R77"/>
    <mergeCell ref="S76:S77"/>
    <mergeCell ref="T76:T77"/>
    <mergeCell ref="U76:U77"/>
    <mergeCell ref="G71:G72"/>
    <mergeCell ref="H71:H72"/>
    <mergeCell ref="A71:A72"/>
    <mergeCell ref="B71:B72"/>
    <mergeCell ref="C71:C72"/>
    <mergeCell ref="D71:D72"/>
    <mergeCell ref="E71:E72"/>
    <mergeCell ref="F71:F72"/>
    <mergeCell ref="X76:X77"/>
    <mergeCell ref="Y76:Y77"/>
    <mergeCell ref="Z76:Z77"/>
    <mergeCell ref="Q74:Q75"/>
    <mergeCell ref="R74:R75"/>
    <mergeCell ref="S74:S75"/>
    <mergeCell ref="T74:T75"/>
    <mergeCell ref="U74:U75"/>
    <mergeCell ref="A77:A78"/>
    <mergeCell ref="B77:K78"/>
    <mergeCell ref="L77:L78"/>
    <mergeCell ref="A73:A74"/>
    <mergeCell ref="B73:K74"/>
    <mergeCell ref="L73:L74"/>
    <mergeCell ref="O74:O75"/>
    <mergeCell ref="P74:P75"/>
    <mergeCell ref="V76:V77"/>
    <mergeCell ref="W76:W77"/>
    <mergeCell ref="AO77:AP78"/>
    <mergeCell ref="A79:A80"/>
    <mergeCell ref="B79:B80"/>
    <mergeCell ref="C79:C80"/>
    <mergeCell ref="D79:D80"/>
    <mergeCell ref="E79:E80"/>
    <mergeCell ref="L79:L80"/>
    <mergeCell ref="AO79:AP80"/>
    <mergeCell ref="O80:O81"/>
    <mergeCell ref="P80:Y81"/>
    <mergeCell ref="Z80:Z81"/>
    <mergeCell ref="A81:A82"/>
    <mergeCell ref="B81:B82"/>
    <mergeCell ref="C81:C82"/>
    <mergeCell ref="D81:D82"/>
    <mergeCell ref="E81:E82"/>
    <mergeCell ref="F79:F80"/>
    <mergeCell ref="G79:G80"/>
    <mergeCell ref="H79:H80"/>
    <mergeCell ref="I79:I80"/>
    <mergeCell ref="J79:J80"/>
    <mergeCell ref="K79:K80"/>
    <mergeCell ref="L81:L82"/>
    <mergeCell ref="AO81:AP82"/>
    <mergeCell ref="A83:A84"/>
    <mergeCell ref="B83:K84"/>
    <mergeCell ref="L83:L84"/>
    <mergeCell ref="AO83:AP84"/>
    <mergeCell ref="F81:F82"/>
    <mergeCell ref="G81:G82"/>
    <mergeCell ref="H81:H82"/>
    <mergeCell ref="I81:I82"/>
    <mergeCell ref="J81:J82"/>
    <mergeCell ref="K81:K82"/>
  </mergeCells>
  <conditionalFormatting sqref="P10:T11 P30:T31 P50:T51 P70:T71 AR60:AV61">
    <cfRule type="expression" dxfId="354" priority="91">
      <formula>AND(O10=AC15,AC15&lt;&gt;" ")</formula>
    </cfRule>
  </conditionalFormatting>
  <conditionalFormatting sqref="Z10:Z11 Z30:Z31 Z50:Z51 Z70:Z71 BB60:BB61">
    <cfRule type="expression" dxfId="353" priority="90">
      <formula>AND(O10=AC15,AC15&lt;&gt;" ")</formula>
    </cfRule>
  </conditionalFormatting>
  <conditionalFormatting sqref="P20:Y21 P40:Y41 P60:Y61 P80:Y81 AR70:AZ71">
    <cfRule type="expression" dxfId="352" priority="89">
      <formula>AND(O20=AC15,AC15&lt;&gt;" ")</formula>
    </cfRule>
  </conditionalFormatting>
  <conditionalFormatting sqref="Z20:Z21 Z40:Z41 Z60:Z61 Z80:Z81">
    <cfRule type="expression" dxfId="351" priority="88">
      <formula>AND(O20=AC15,AC15&lt;&gt;" ")</formula>
    </cfRule>
  </conditionalFormatting>
  <conditionalFormatting sqref="AR20:AV21">
    <cfRule type="expression" dxfId="350" priority="87">
      <formula>AND(AQ20=BE25,BE25&lt;&gt;" ")</formula>
    </cfRule>
  </conditionalFormatting>
  <conditionalFormatting sqref="BB20:BB21">
    <cfRule type="expression" dxfId="349" priority="86">
      <formula>AND(AQ20=BE25,BE25&lt;&gt;" ")</formula>
    </cfRule>
  </conditionalFormatting>
  <conditionalFormatting sqref="AR30:BA31">
    <cfRule type="expression" dxfId="348" priority="85">
      <formula>AND(AQ30=BE25,BE25&lt;&gt;" ")</formula>
    </cfRule>
  </conditionalFormatting>
  <conditionalFormatting sqref="BB30:BB31">
    <cfRule type="expression" dxfId="347" priority="84">
      <formula>AND(AQ30=BE25,BE25&lt;&gt;" ")</formula>
    </cfRule>
  </conditionalFormatting>
  <conditionalFormatting sqref="AD55:AN56">
    <cfRule type="expression" dxfId="346" priority="83">
      <formula>AND($AC$55=$AQ$30,$AQ$30&lt;&gt;" ")</formula>
    </cfRule>
  </conditionalFormatting>
  <conditionalFormatting sqref="AN75:AN76">
    <cfRule type="expression" dxfId="345" priority="82">
      <formula>AND(AC75=$AQ$30,$AQ$30&lt;&gt;" ")</formula>
    </cfRule>
  </conditionalFormatting>
  <conditionalFormatting sqref="AD75:AM76">
    <cfRule type="expression" dxfId="344" priority="81">
      <formula>AND($AC$75=$AQ$30,$AQ$30&lt;&gt;" ")</formula>
    </cfRule>
  </conditionalFormatting>
  <conditionalFormatting sqref="AD15:AN16">
    <cfRule type="expression" dxfId="343" priority="80">
      <formula>AND($AC$15=$AQ$20,$AQ$20&lt;&gt;" ")</formula>
    </cfRule>
  </conditionalFormatting>
  <conditionalFormatting sqref="AD35:AN36">
    <cfRule type="expression" dxfId="342" priority="79">
      <formula>AND($AC$35=$AQ$20,$AQ$20&lt;&gt;" ")</formula>
    </cfRule>
  </conditionalFormatting>
  <conditionalFormatting sqref="BB70:BB71">
    <cfRule type="expression" dxfId="341" priority="75">
      <formula>AND(AQ70=BE65,BE65&lt;&gt;" ")</formula>
    </cfRule>
  </conditionalFormatting>
  <conditionalFormatting sqref="B7:F8 B17:F18 B27:F28 B37:F38 B47:F48 B57:F58 B67:F68 B77:F78">
    <cfRule type="expression" dxfId="340" priority="74">
      <formula>AND(A7=O10,O10&lt;&gt;" ")</formula>
    </cfRule>
  </conditionalFormatting>
  <conditionalFormatting sqref="L7:L8 L17:L18 L27:L28 L37:L38 L47:L48 L57:L58 L67:L68 L77:L78">
    <cfRule type="expression" dxfId="339" priority="73">
      <formula>AND(A7=O10,O10&lt;&gt;" ")</formula>
    </cfRule>
  </conditionalFormatting>
  <conditionalFormatting sqref="B13:K14 B23:K24 B33:K34 B43:K44 B53:K54 B63:K64 B73:K74 B83:K84">
    <cfRule type="expression" dxfId="338" priority="72">
      <formula>AND(A13=O10,O10&lt;&gt;" ")</formula>
    </cfRule>
  </conditionalFormatting>
  <conditionalFormatting sqref="L13:L14 L23:L24 L33:L34 L43:L44 L53:L54 L63:L64 L73:L74 L83:L84">
    <cfRule type="expression" dxfId="337" priority="71">
      <formula>AND(A13=O10,O10&lt;&gt;" ")</formula>
    </cfRule>
  </conditionalFormatting>
  <conditionalFormatting sqref="A9:A12 A19:A22 A29:A32 A39:A42 A49:A52 A59:A62 A69:A72 A79:A82">
    <cfRule type="expression" dxfId="336" priority="69">
      <formula>AND(MOD(A9,2)=0,A9&lt;&gt;"")</formula>
    </cfRule>
    <cfRule type="expression" dxfId="335" priority="70">
      <formula>AND(MOD(A9,2)=1,A9&lt;&gt;"")</formula>
    </cfRule>
  </conditionalFormatting>
  <conditionalFormatting sqref="A11:A12 A21:A22 A31:A32 A41:A42 A51:A52 A61:A62 A71:A72 A81:A82">
    <cfRule type="expression" dxfId="334" priority="67">
      <formula>AND(MOD(A11,2)=0,A11&lt;&gt;"")</formula>
    </cfRule>
    <cfRule type="expression" dxfId="333" priority="68">
      <formula>AND(MOD(A11,2)=1,A11&lt;&gt;"")</formula>
    </cfRule>
  </conditionalFormatting>
  <conditionalFormatting sqref="O14:O15">
    <cfRule type="expression" dxfId="332" priority="65">
      <formula>AND(MOD(O14,2)=0,O14&lt;&gt;"")</formula>
    </cfRule>
    <cfRule type="expression" dxfId="331" priority="66">
      <formula>AND(MOD(O14,2)=1,O14&lt;&gt;"")</formula>
    </cfRule>
  </conditionalFormatting>
  <conditionalFormatting sqref="O16:O17">
    <cfRule type="expression" dxfId="330" priority="63">
      <formula>AND(MOD(O16,2)=0,O16&lt;&gt;"")</formula>
    </cfRule>
    <cfRule type="expression" dxfId="329" priority="64">
      <formula>AND(MOD(O16,2)=1,O16&lt;&gt;"")</formula>
    </cfRule>
  </conditionalFormatting>
  <conditionalFormatting sqref="O34:O35 O54:O55 O74:O75">
    <cfRule type="expression" dxfId="328" priority="61">
      <formula>AND(MOD(O34,2)=0,O34&lt;&gt;"")</formula>
    </cfRule>
    <cfRule type="expression" dxfId="327" priority="62">
      <formula>AND(MOD(O34,2)=1,O34&lt;&gt;"")</formula>
    </cfRule>
  </conditionalFormatting>
  <conditionalFormatting sqref="O36:O37 O56:O57 O76:O77">
    <cfRule type="expression" dxfId="326" priority="59">
      <formula>AND(MOD(O36,2)=0,O36&lt;&gt;"")</formula>
    </cfRule>
    <cfRule type="expression" dxfId="325" priority="60">
      <formula>AND(MOD(O36,2)=1,O36&lt;&gt;"")</formula>
    </cfRule>
  </conditionalFormatting>
  <conditionalFormatting sqref="AC24:AC25">
    <cfRule type="expression" dxfId="324" priority="57">
      <formula>AND(MOD(AC24,2)=0,AC24&lt;&gt;"")</formula>
    </cfRule>
    <cfRule type="expression" dxfId="323" priority="58">
      <formula>AND(MOD(AC24,2)=1,AC24&lt;&gt;"")</formula>
    </cfRule>
  </conditionalFormatting>
  <conditionalFormatting sqref="AC26:AC27">
    <cfRule type="expression" dxfId="322" priority="55">
      <formula>AND(MOD(AC26,2)=0,AC26&lt;&gt;"")</formula>
    </cfRule>
    <cfRule type="expression" dxfId="321" priority="56">
      <formula>AND(MOD(AC26,2)=1,AC26&lt;&gt;"")</formula>
    </cfRule>
  </conditionalFormatting>
  <conditionalFormatting sqref="AC64:AC65">
    <cfRule type="expression" dxfId="320" priority="53">
      <formula>AND(MOD(AC64,2)=0,AC64&lt;&gt;"")</formula>
    </cfRule>
    <cfRule type="expression" dxfId="319" priority="54">
      <formula>AND(MOD(AC64,2)=1,AC64&lt;&gt;"")</formula>
    </cfRule>
  </conditionalFormatting>
  <conditionalFormatting sqref="AC66:AC67">
    <cfRule type="expression" dxfId="318" priority="51">
      <formula>AND(MOD(AC66,2)=0,AC66&lt;&gt;"")</formula>
    </cfRule>
    <cfRule type="expression" dxfId="317" priority="52">
      <formula>AND(MOD(AC66,2)=1,AC66&lt;&gt;"")</formula>
    </cfRule>
  </conditionalFormatting>
  <conditionalFormatting sqref="AQ24:AQ25">
    <cfRule type="expression" dxfId="316" priority="49">
      <formula>AND(MOD(AQ24,2)=0,AQ24&lt;&gt;"")</formula>
    </cfRule>
    <cfRule type="expression" dxfId="315" priority="50">
      <formula>AND(MOD(AQ24,2)=1,AQ24&lt;&gt;"")</formula>
    </cfRule>
  </conditionalFormatting>
  <conditionalFormatting sqref="AQ26:AQ27">
    <cfRule type="expression" dxfId="314" priority="47">
      <formula>AND(MOD(AQ26,2)=0,AQ26&lt;&gt;"")</formula>
    </cfRule>
    <cfRule type="expression" dxfId="313" priority="48">
      <formula>AND(MOD(AQ26,2)=1,AQ26&lt;&gt;"")</formula>
    </cfRule>
  </conditionalFormatting>
  <conditionalFormatting sqref="AQ64:AQ65">
    <cfRule type="expression" dxfId="312" priority="45">
      <formula>AND(MOD(AQ64,2)=0,AQ64&lt;&gt;"")</formula>
    </cfRule>
    <cfRule type="expression" dxfId="311" priority="46">
      <formula>AND(MOD(AQ64,2)=1,AQ64&lt;&gt;"")</formula>
    </cfRule>
  </conditionalFormatting>
  <conditionalFormatting sqref="AQ66:AQ67">
    <cfRule type="expression" dxfId="310" priority="43">
      <formula>AND(MOD(AQ66,2)=0,AQ66&lt;&gt;"")</formula>
    </cfRule>
    <cfRule type="expression" dxfId="309" priority="44">
      <formula>AND(MOD(AQ66,2)=1,AQ66&lt;&gt;"")</formula>
    </cfRule>
  </conditionalFormatting>
  <conditionalFormatting sqref="O14:O15">
    <cfRule type="expression" dxfId="308" priority="41">
      <formula>AND(MOD(O14,2)=0,O14&lt;&gt;"")</formula>
    </cfRule>
    <cfRule type="expression" dxfId="307" priority="42">
      <formula>AND(MOD(O14,2)=1,O14&lt;&gt;"")</formula>
    </cfRule>
  </conditionalFormatting>
  <conditionalFormatting sqref="O16:O17">
    <cfRule type="expression" dxfId="306" priority="39">
      <formula>AND(MOD(O16,2)=0,O16&lt;&gt;"")</formula>
    </cfRule>
    <cfRule type="expression" dxfId="305" priority="40">
      <formula>AND(MOD(O16,2)=1,O16&lt;&gt;"")</formula>
    </cfRule>
  </conditionalFormatting>
  <conditionalFormatting sqref="O16:O17">
    <cfRule type="expression" dxfId="304" priority="37">
      <formula>AND(MOD(O16,2)=0,O16&lt;&gt;"")</formula>
    </cfRule>
    <cfRule type="expression" dxfId="303" priority="38">
      <formula>AND(MOD(O16,2)=1,O16&lt;&gt;"")</formula>
    </cfRule>
  </conditionalFormatting>
  <conditionalFormatting sqref="O34:O35">
    <cfRule type="expression" dxfId="302" priority="35">
      <formula>AND(MOD(O34,2)=0,O34&lt;&gt;"")</formula>
    </cfRule>
    <cfRule type="expression" dxfId="301" priority="36">
      <formula>AND(MOD(O34,2)=1,O34&lt;&gt;"")</formula>
    </cfRule>
  </conditionalFormatting>
  <conditionalFormatting sqref="O36:O37">
    <cfRule type="expression" dxfId="300" priority="33">
      <formula>AND(MOD(O36,2)=0,O36&lt;&gt;"")</formula>
    </cfRule>
    <cfRule type="expression" dxfId="299" priority="34">
      <formula>AND(MOD(O36,2)=1,O36&lt;&gt;"")</formula>
    </cfRule>
  </conditionalFormatting>
  <conditionalFormatting sqref="O34:O35">
    <cfRule type="expression" dxfId="298" priority="31">
      <formula>AND(MOD(O34,2)=0,O34&lt;&gt;"")</formula>
    </cfRule>
    <cfRule type="expression" dxfId="297" priority="32">
      <formula>AND(MOD(O34,2)=1,O34&lt;&gt;"")</formula>
    </cfRule>
  </conditionalFormatting>
  <conditionalFormatting sqref="O36:O37">
    <cfRule type="expression" dxfId="296" priority="29">
      <formula>AND(MOD(O36,2)=0,O36&lt;&gt;"")</formula>
    </cfRule>
    <cfRule type="expression" dxfId="295" priority="30">
      <formula>AND(MOD(O36,2)=1,O36&lt;&gt;"")</formula>
    </cfRule>
  </conditionalFormatting>
  <conditionalFormatting sqref="O36:O37">
    <cfRule type="expression" dxfId="294" priority="27">
      <formula>AND(MOD(O36,2)=0,O36&lt;&gt;"")</formula>
    </cfRule>
    <cfRule type="expression" dxfId="293" priority="28">
      <formula>AND(MOD(O36,2)=1,O36&lt;&gt;"")</formula>
    </cfRule>
  </conditionalFormatting>
  <conditionalFormatting sqref="AC24:AC25">
    <cfRule type="expression" dxfId="292" priority="25">
      <formula>AND(MOD(AC24,2)=0,AC24&lt;&gt;"")</formula>
    </cfRule>
    <cfRule type="expression" dxfId="291" priority="26">
      <formula>AND(MOD(AC24,2)=1,AC24&lt;&gt;"")</formula>
    </cfRule>
  </conditionalFormatting>
  <conditionalFormatting sqref="AC26:AC27">
    <cfRule type="expression" dxfId="290" priority="23">
      <formula>AND(MOD(AC26,2)=0,AC26&lt;&gt;"")</formula>
    </cfRule>
    <cfRule type="expression" dxfId="289" priority="24">
      <formula>AND(MOD(AC26,2)=1,AC26&lt;&gt;"")</formula>
    </cfRule>
  </conditionalFormatting>
  <conditionalFormatting sqref="AC26:AC27">
    <cfRule type="expression" dxfId="288" priority="21">
      <formula>AND(MOD(AC26,2)=0,AC26&lt;&gt;"")</formula>
    </cfRule>
    <cfRule type="expression" dxfId="287" priority="22">
      <formula>AND(MOD(AC26,2)=1,AC26&lt;&gt;"")</formula>
    </cfRule>
  </conditionalFormatting>
  <conditionalFormatting sqref="AQ24:AQ25">
    <cfRule type="expression" dxfId="286" priority="19">
      <formula>AND(MOD(AQ24,2)=0,AQ24&lt;&gt;"")</formula>
    </cfRule>
    <cfRule type="expression" dxfId="285" priority="20">
      <formula>AND(MOD(AQ24,2)=1,AQ24&lt;&gt;"")</formula>
    </cfRule>
  </conditionalFormatting>
  <conditionalFormatting sqref="AQ24:AQ25">
    <cfRule type="expression" dxfId="284" priority="17">
      <formula>AND(MOD(AQ24,2)=0,AQ24&lt;&gt;"")</formula>
    </cfRule>
    <cfRule type="expression" dxfId="283" priority="18">
      <formula>AND(MOD(AQ24,2)=1,AQ24&lt;&gt;"")</formula>
    </cfRule>
  </conditionalFormatting>
  <conditionalFormatting sqref="AQ26:AQ27">
    <cfRule type="expression" dxfId="282" priority="15">
      <formula>AND(MOD(AQ26,2)=0,AQ26&lt;&gt;"")</formula>
    </cfRule>
    <cfRule type="expression" dxfId="281" priority="16">
      <formula>AND(MOD(AQ26,2)=1,AQ26&lt;&gt;"")</formula>
    </cfRule>
  </conditionalFormatting>
  <conditionalFormatting sqref="AQ64:AQ65">
    <cfRule type="expression" dxfId="280" priority="13">
      <formula>AND(MOD(AQ64,2)=0,AQ64&lt;&gt;"")</formula>
    </cfRule>
    <cfRule type="expression" dxfId="279" priority="14">
      <formula>AND(MOD(AQ64,2)=1,AQ64&lt;&gt;"")</formula>
    </cfRule>
  </conditionalFormatting>
  <conditionalFormatting sqref="AQ66:AQ67">
    <cfRule type="expression" dxfId="278" priority="11">
      <formula>AND(MOD(AQ66,2)=0,AQ66&lt;&gt;"")</formula>
    </cfRule>
    <cfRule type="expression" dxfId="277" priority="12">
      <formula>AND(MOD(AQ66,2)=1,AQ66&lt;&gt;"")</formula>
    </cfRule>
  </conditionalFormatting>
  <conditionalFormatting sqref="AQ64:AQ65">
    <cfRule type="expression" dxfId="276" priority="9">
      <formula>AND(MOD(AQ64,2)=0,AQ64&lt;&gt;"")</formula>
    </cfRule>
    <cfRule type="expression" dxfId="275" priority="10">
      <formula>AND(MOD(AQ64,2)=1,AQ64&lt;&gt;"")</formula>
    </cfRule>
  </conditionalFormatting>
  <conditionalFormatting sqref="AQ64:AQ65">
    <cfRule type="expression" dxfId="274" priority="7">
      <formula>AND(MOD(AQ64,2)=0,AQ64&lt;&gt;"")</formula>
    </cfRule>
    <cfRule type="expression" dxfId="273" priority="8">
      <formula>AND(MOD(AQ64,2)=1,AQ64&lt;&gt;"")</formula>
    </cfRule>
  </conditionalFormatting>
  <conditionalFormatting sqref="AQ66:AQ67">
    <cfRule type="expression" dxfId="272" priority="5">
      <formula>AND(MOD(AQ66,2)=0,AQ66&lt;&gt;"")</formula>
    </cfRule>
    <cfRule type="expression" dxfId="271" priority="6">
      <formula>AND(MOD(AQ66,2)=1,AQ66&lt;&gt;"")</formula>
    </cfRule>
  </conditionalFormatting>
  <conditionalFormatting sqref="BM77:BM88 A53:BD64 A90:XFD1048576 A68:BL89 BM89:XFD89 BS68:XFD72 A1:XFD49 A66:XFD67 BL53:BM64 A65:BM65 A50:BM52 BQ50:XFD65 BP73:BR73 BT73:XFD88 BO77:BO88 BP74:BP88 BQ74:BR76">
    <cfRule type="expression" dxfId="270" priority="4">
      <formula>OR($BE$50&lt;=$BE$52)</formula>
    </cfRule>
  </conditionalFormatting>
  <conditionalFormatting sqref="BA70:BA71">
    <cfRule type="expression" dxfId="269" priority="114">
      <formula>AND(AZ70=#REF!,#REF!&lt;&gt;" ")</formula>
    </cfRule>
  </conditionalFormatting>
  <conditionalFormatting sqref="BN50:BP65">
    <cfRule type="expression" dxfId="268" priority="2">
      <formula>OR($BE$50&lt;=$BE$52)</formula>
    </cfRule>
  </conditionalFormatting>
  <conditionalFormatting sqref="BQ77:BQ80">
    <cfRule type="expression" dxfId="267" priority="1">
      <formula>OR($BE$50&lt;=$BE$52)</formula>
    </cfRule>
  </conditionalFormatting>
  <dataValidations count="1">
    <dataValidation type="whole" allowBlank="1" showInputMessage="1" showErrorMessage="1" sqref="B9:F12 B59:F62 B69:F72 P14:T17 AD24:AH27 AD64:AH67 AR24:AV27 AR64:AV67 B79:F82 B19:F22 B29:F32 B39:F42 B49:F52 P34:T37 P54:T57 P74:T77">
      <formula1>0</formula1>
      <formula2>30</formula2>
    </dataValidation>
  </dataValidations>
  <printOptions horizontalCentered="1" verticalCentered="1"/>
  <pageMargins left="0.39370078740157483" right="0.39370078740157483" top="0.59055118110236227" bottom="0.59055118110236227" header="0" footer="0"/>
  <pageSetup paperSize="9" scale="6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T163"/>
  <sheetViews>
    <sheetView showGridLines="0" showRowColHeaders="0" zoomScaleSheetLayoutView="85" workbookViewId="0">
      <selection activeCell="AD64" sqref="AD64:AD65"/>
    </sheetView>
  </sheetViews>
  <sheetFormatPr defaultColWidth="7.5703125" defaultRowHeight="6.75" customHeight="1" x14ac:dyDescent="0.2"/>
  <cols>
    <col min="1" max="1" width="5.7109375" style="7" customWidth="1"/>
    <col min="2" max="6" width="5.28515625" style="4" customWidth="1"/>
    <col min="7" max="11" width="3.7109375" style="4" hidden="1" customWidth="1"/>
    <col min="12" max="12" width="5.7109375" style="3" customWidth="1"/>
    <col min="13" max="14" width="4.28515625" style="7" customWidth="1"/>
    <col min="15" max="15" width="5.7109375" style="3" customWidth="1"/>
    <col min="16" max="20" width="5.28515625" style="7" customWidth="1"/>
    <col min="21" max="25" width="3.7109375" style="7" hidden="1" customWidth="1"/>
    <col min="26" max="26" width="5.7109375" style="7" customWidth="1"/>
    <col min="27" max="28" width="4.28515625" style="7" customWidth="1"/>
    <col min="29" max="29" width="5.7109375" style="7" customWidth="1"/>
    <col min="30" max="34" width="5.28515625" style="7" customWidth="1"/>
    <col min="35" max="39" width="3.7109375" style="7" hidden="1" customWidth="1"/>
    <col min="40" max="40" width="5.7109375" style="7" customWidth="1"/>
    <col min="41" max="42" width="2.85546875" style="7" customWidth="1"/>
    <col min="43" max="43" width="5.7109375" style="7" customWidth="1"/>
    <col min="44" max="48" width="5.28515625" style="7" customWidth="1"/>
    <col min="49" max="53" width="0" style="7" hidden="1" customWidth="1"/>
    <col min="54" max="54" width="5.7109375" style="7" customWidth="1"/>
    <col min="55" max="56" width="2.85546875" style="7" customWidth="1"/>
    <col min="57" max="57" width="5.7109375" style="7" customWidth="1"/>
    <col min="58" max="62" width="5.28515625" style="7" customWidth="1"/>
    <col min="63" max="63" width="5.7109375" style="7" customWidth="1"/>
    <col min="64" max="64" width="7.5703125" style="7"/>
    <col min="65" max="72" width="0" style="7" hidden="1" customWidth="1"/>
    <col min="73" max="16384" width="7.5703125" style="7"/>
  </cols>
  <sheetData>
    <row r="1" spans="1:63" s="6" customFormat="1" ht="15" customHeight="1" x14ac:dyDescent="0.25">
      <c r="A1" s="253" t="str">
        <f>'Start List'!A1</f>
        <v>22. BOHEMIA CUP - CROSSBOW FIELD</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row>
    <row r="2" spans="1:63" s="21" customFormat="1" ht="15" customHeight="1" x14ac:dyDescent="0.25">
      <c r="A2" s="253" t="str">
        <f>'Start List'!A2</f>
        <v>Nový Stadion, TJ Jiskra, Otrokovice</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row>
    <row r="3" spans="1:63" s="21" customFormat="1" ht="15" customHeight="1" x14ac:dyDescent="0.25">
      <c r="A3" s="253" t="str">
        <f>'Start List'!A3</f>
        <v>14.-16. August 2020</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row>
    <row r="4" spans="1:63" s="21" customFormat="1" ht="15" customHeight="1" x14ac:dyDescent="0.25">
      <c r="A4" s="253" t="str">
        <f>"Match Play - "&amp;SUBSTITUTE(A5,"  ","")</f>
        <v>Match Play - Cadets</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row>
    <row r="5" spans="1:63" s="21" customFormat="1" ht="15" hidden="1" customHeight="1" x14ac:dyDescent="0.25">
      <c r="A5" s="253" t="str">
        <f>VLOOKUP(Data!$AJ$5,Data!$AJ$2:$AK$7,2,FALSE)</f>
        <v xml:space="preserve">Cadets  </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row>
    <row r="6" spans="1:63" s="6" customFormat="1" ht="6.75" customHeight="1" thickBo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8"/>
      <c r="AI6" s="29"/>
    </row>
    <row r="7" spans="1:63" s="1" customFormat="1" ht="6.75" customHeight="1" x14ac:dyDescent="0.2">
      <c r="A7" s="254">
        <v>1</v>
      </c>
      <c r="B7" s="255" t="str">
        <f ca="1">IF(A7=" "," ",IFERROR(VLOOKUP(LARGE(INDIRECT(VLOOKUP($A$5,'Start List'!$J$9:$Q$14,5,FALSE)),A7),'Start List'!$B$15:$V$139,3,FALSE),"bye to the next round"))</f>
        <v>Petar Blagec</v>
      </c>
      <c r="C7" s="256"/>
      <c r="D7" s="256"/>
      <c r="E7" s="256"/>
      <c r="F7" s="256"/>
      <c r="G7" s="256"/>
      <c r="H7" s="256"/>
      <c r="I7" s="256"/>
      <c r="J7" s="256"/>
      <c r="K7" s="257"/>
      <c r="L7" s="261" t="str">
        <f ca="1">IFERROR(VLOOKUP(LARGE(INDIRECT(VLOOKUP($A$5,'Start List'!$J$9:$Q$14,5,FALSE)),Cadets!A7),'Start List'!$B$15:$V$139,7,FALSE)," ")</f>
        <v xml:space="preserve"> </v>
      </c>
      <c r="M7" s="2"/>
      <c r="N7" s="5"/>
      <c r="O7" s="11"/>
    </row>
    <row r="8" spans="1:63" ht="6.75" customHeight="1" thickBot="1" x14ac:dyDescent="0.25">
      <c r="A8" s="254"/>
      <c r="B8" s="258"/>
      <c r="C8" s="259"/>
      <c r="D8" s="259"/>
      <c r="E8" s="259"/>
      <c r="F8" s="259"/>
      <c r="G8" s="259"/>
      <c r="H8" s="259"/>
      <c r="I8" s="259"/>
      <c r="J8" s="259"/>
      <c r="K8" s="260"/>
      <c r="L8" s="262"/>
      <c r="M8" s="14"/>
    </row>
    <row r="9" spans="1:63" ht="6.75" customHeight="1" thickBot="1" x14ac:dyDescent="0.25">
      <c r="A9" s="263" t="str">
        <f>VLOOKUP(VLOOKUP($A$5,'Start List'!$J$9:$Q$14,8,FALSE)&amp;A7,Data!$D$2:$H$97,2,FALSE)</f>
        <v/>
      </c>
      <c r="B9" s="274"/>
      <c r="C9" s="271"/>
      <c r="D9" s="271"/>
      <c r="E9" s="271"/>
      <c r="F9" s="271"/>
      <c r="G9" s="268">
        <f>IF(B9&gt;B11,2,IF(AND(B11=B9,B9&gt;0),1,0))</f>
        <v>0</v>
      </c>
      <c r="H9" s="268">
        <f>IF(C9&gt;C11,2,IF(AND(C11=C9,C9&gt;0),1,0))</f>
        <v>0</v>
      </c>
      <c r="I9" s="268">
        <f>IF(D9&gt;D11,2,IF(AND(D11=D9,D9&gt;0),1,0))</f>
        <v>0</v>
      </c>
      <c r="J9" s="268">
        <f>IF(E9&gt;E11,2,IF(AND(E11=E9,E9&gt;0),1,0))</f>
        <v>0</v>
      </c>
      <c r="K9" s="268">
        <f>IF(F9&gt;F11,2,IF(AND(F11=F9,F9&gt;0),1,0))</f>
        <v>0</v>
      </c>
      <c r="L9" s="272">
        <f>SUM(G9:K10)</f>
        <v>0</v>
      </c>
      <c r="M9" s="9"/>
    </row>
    <row r="10" spans="1:63" ht="6.75" customHeight="1" x14ac:dyDescent="0.2">
      <c r="A10" s="263"/>
      <c r="B10" s="264"/>
      <c r="C10" s="266"/>
      <c r="D10" s="266"/>
      <c r="E10" s="266"/>
      <c r="F10" s="266"/>
      <c r="G10" s="269"/>
      <c r="H10" s="269"/>
      <c r="I10" s="269"/>
      <c r="J10" s="269"/>
      <c r="K10" s="269"/>
      <c r="L10" s="273"/>
      <c r="M10" s="15"/>
      <c r="O10" s="254">
        <f ca="1">IF(B13="bye to the next round",A7,IF(AND(L9&gt;L11,L9&gt;4),A7,IF(AND(L11&gt;L9,L11&gt;4),A13,IF(AND(L9=5,L11=5),MIN(A7,A13)," "))))</f>
        <v>1</v>
      </c>
      <c r="P10" s="255" t="str">
        <f ca="1">IF(O10=" "," ",IFERROR(VLOOKUP(LARGE(INDIRECT(VLOOKUP($A$5,'Start List'!$J$9:$Q$14,5,FALSE)),O10),'Start List'!$B$15:$V$139,3,FALSE),"bye to the next round"))</f>
        <v>Petar Blagec</v>
      </c>
      <c r="Q10" s="256"/>
      <c r="R10" s="256"/>
      <c r="S10" s="256"/>
      <c r="T10" s="256"/>
      <c r="U10" s="256"/>
      <c r="V10" s="256"/>
      <c r="W10" s="256"/>
      <c r="X10" s="256"/>
      <c r="Y10" s="257"/>
      <c r="Z10" s="261" t="str">
        <f ca="1">IFERROR(VLOOKUP(LARGE(INDIRECT(VLOOKUP($A$5,'Start List'!$J$9:$Q$14,5,FALSE)),Cadets!O10),'Start List'!$B$15:$V$139,7,FALSE)," ")</f>
        <v xml:space="preserve"> </v>
      </c>
      <c r="AA10" s="16"/>
    </row>
    <row r="11" spans="1:63" ht="6.75" customHeight="1" thickBot="1" x14ac:dyDescent="0.25">
      <c r="A11" s="263" t="str">
        <f>VLOOKUP(VLOOKUP($A$5,'Start List'!$J$9:$Q$14,8,FALSE)&amp;A13,Data!$D$2:$H$97,2,FALSE)</f>
        <v/>
      </c>
      <c r="B11" s="264"/>
      <c r="C11" s="266"/>
      <c r="D11" s="266"/>
      <c r="E11" s="266"/>
      <c r="F11" s="266"/>
      <c r="G11" s="268">
        <f>IF(B9&lt;B11,2,IF(AND(B11=B9,B11&gt;0),1,0))</f>
        <v>0</v>
      </c>
      <c r="H11" s="268">
        <f>IF(C9&lt;C11,2,IF(AND(C11=C9,C11&gt;0),1,0))</f>
        <v>0</v>
      </c>
      <c r="I11" s="268">
        <f>IF(D9&lt;D11,2,IF(AND(D11=D9,D11&gt;0),1,0))</f>
        <v>0</v>
      </c>
      <c r="J11" s="268">
        <f>IF(E9&lt;E11,2,IF(AND(E11=E9,E11&gt;0),1,0))</f>
        <v>0</v>
      </c>
      <c r="K11" s="268">
        <f>IF(F9&lt;F11,2,IF(AND(F11=F9,F11&gt;0),1,0))</f>
        <v>0</v>
      </c>
      <c r="L11" s="272">
        <f>SUM(G11:K12)</f>
        <v>0</v>
      </c>
      <c r="M11" s="15"/>
      <c r="N11" s="10"/>
      <c r="O11" s="254"/>
      <c r="P11" s="258"/>
      <c r="Q11" s="259"/>
      <c r="R11" s="259"/>
      <c r="S11" s="259"/>
      <c r="T11" s="259"/>
      <c r="U11" s="259"/>
      <c r="V11" s="259"/>
      <c r="W11" s="259"/>
      <c r="X11" s="259"/>
      <c r="Y11" s="260"/>
      <c r="Z11" s="262"/>
      <c r="AA11" s="12"/>
    </row>
    <row r="12" spans="1:63" ht="6.75" customHeight="1" thickBot="1" x14ac:dyDescent="0.25">
      <c r="A12" s="263"/>
      <c r="B12" s="265"/>
      <c r="C12" s="267"/>
      <c r="D12" s="267"/>
      <c r="E12" s="267"/>
      <c r="F12" s="267"/>
      <c r="G12" s="269"/>
      <c r="H12" s="269"/>
      <c r="I12" s="269"/>
      <c r="J12" s="269"/>
      <c r="K12" s="269"/>
      <c r="L12" s="273"/>
      <c r="M12" s="15"/>
      <c r="O12" s="7"/>
      <c r="AA12" s="9"/>
    </row>
    <row r="13" spans="1:63" ht="6.75" customHeight="1" x14ac:dyDescent="0.2">
      <c r="A13" s="254">
        <v>16</v>
      </c>
      <c r="B13" s="255" t="str">
        <f ca="1">IF(A13=" "," ",IFERROR(VLOOKUP(LARGE(INDIRECT(VLOOKUP($A$5,'Start List'!$J$9:$Q$14,5,FALSE)),A13),'Start List'!$B$15:$V$139,3,FALSE),"bye to the next round"))</f>
        <v>bye to the next round</v>
      </c>
      <c r="C13" s="256"/>
      <c r="D13" s="256"/>
      <c r="E13" s="256"/>
      <c r="F13" s="256"/>
      <c r="G13" s="256"/>
      <c r="H13" s="256"/>
      <c r="I13" s="256"/>
      <c r="J13" s="256"/>
      <c r="K13" s="257"/>
      <c r="L13" s="261" t="str">
        <f ca="1">IFERROR(VLOOKUP(LARGE(INDIRECT(VLOOKUP($A$5,'Start List'!$J$9:$Q$14,5,FALSE)),Cadets!A13),'Start List'!$B$15:$V$139,7,FALSE)," ")</f>
        <v xml:space="preserve"> </v>
      </c>
      <c r="M13" s="8"/>
      <c r="O13" s="7"/>
      <c r="AA13" s="9"/>
    </row>
    <row r="14" spans="1:63" ht="6.75" customHeight="1" thickBot="1" x14ac:dyDescent="0.25">
      <c r="A14" s="254"/>
      <c r="B14" s="258"/>
      <c r="C14" s="259"/>
      <c r="D14" s="259"/>
      <c r="E14" s="259"/>
      <c r="F14" s="259"/>
      <c r="G14" s="259"/>
      <c r="H14" s="259"/>
      <c r="I14" s="259"/>
      <c r="J14" s="259"/>
      <c r="K14" s="260"/>
      <c r="L14" s="262"/>
      <c r="M14" s="13"/>
      <c r="O14" s="263" t="str">
        <f>VLOOKUP(VLOOKUP($A$5,'Start List'!$J$9:$Q$14,8,FALSE)&amp;A7,Data!$D$2:$H$97,3,FALSE)</f>
        <v/>
      </c>
      <c r="P14" s="264"/>
      <c r="Q14" s="266"/>
      <c r="R14" s="266"/>
      <c r="S14" s="266"/>
      <c r="T14" s="266"/>
      <c r="U14" s="269">
        <f>IF(P14&gt;P16,2,IF(AND(P16=P14,P14&gt;0),1,0))</f>
        <v>0</v>
      </c>
      <c r="V14" s="269">
        <f>IF(Q14&gt;Q16,2,IF(AND(Q16=Q14,Q14&gt;0),1,0))</f>
        <v>0</v>
      </c>
      <c r="W14" s="269">
        <f>IF(R14&gt;R16,2,IF(AND(R16=R14,R14&gt;0),1,0))</f>
        <v>0</v>
      </c>
      <c r="X14" s="269">
        <f>IF(S14&gt;S16,2,IF(AND(S16=S14,S14&gt;0),1,0))</f>
        <v>0</v>
      </c>
      <c r="Y14" s="269">
        <f>IF(T14&gt;T16,2,IF(AND(T16=T14,T14&gt;0),1,0))</f>
        <v>0</v>
      </c>
      <c r="Z14" s="277">
        <f>SUM(U14:Y15)</f>
        <v>0</v>
      </c>
      <c r="AA14" s="9"/>
    </row>
    <row r="15" spans="1:63" ht="6.75" customHeight="1" x14ac:dyDescent="0.2">
      <c r="A15" s="30"/>
      <c r="O15" s="263"/>
      <c r="P15" s="264"/>
      <c r="Q15" s="266"/>
      <c r="R15" s="266"/>
      <c r="S15" s="266"/>
      <c r="T15" s="266"/>
      <c r="U15" s="269"/>
      <c r="V15" s="269"/>
      <c r="W15" s="269"/>
      <c r="X15" s="269"/>
      <c r="Y15" s="269"/>
      <c r="Z15" s="277"/>
      <c r="AA15" s="9"/>
      <c r="AC15" s="254" t="str">
        <f ca="1">IF(P20="bye to the next round",O10,IF(AND(Z14&gt;Z16,Z14&gt;4),O10,IF(AND(Z16&gt;Z14,Z16&gt;4),O20,IF(AND(Z14=5,Z16=5),MIN(O10,O20)," "))))</f>
        <v xml:space="preserve"> </v>
      </c>
      <c r="AD15" s="255" t="str">
        <f ca="1">IF(AC15=" "," ",IFERROR(VLOOKUP(LARGE(INDIRECT(VLOOKUP($A$5,'Start List'!$J$9:$Q$14,5,FALSE)),AC15),'Start List'!$B$15:$V$139,3,FALSE),"bye to the next round"))</f>
        <v xml:space="preserve"> </v>
      </c>
      <c r="AE15" s="256"/>
      <c r="AF15" s="256"/>
      <c r="AG15" s="256"/>
      <c r="AH15" s="256"/>
      <c r="AI15" s="256"/>
      <c r="AJ15" s="256"/>
      <c r="AK15" s="256"/>
      <c r="AL15" s="256"/>
      <c r="AM15" s="257"/>
      <c r="AN15" s="275" t="str">
        <f ca="1">IFERROR(VLOOKUP(LARGE(INDIRECT(VLOOKUP($A$5,'Start List'!$J$9:$Q$14,5,FALSE)),Cadets!AC15),'Start List'!$B$15:$V$139,7,FALSE)," ")</f>
        <v xml:space="preserve"> </v>
      </c>
    </row>
    <row r="16" spans="1:63" ht="6.75" customHeight="1" thickBot="1" x14ac:dyDescent="0.25">
      <c r="A16" s="29"/>
      <c r="B16" s="29"/>
      <c r="C16" s="29"/>
      <c r="D16" s="29"/>
      <c r="E16" s="29"/>
      <c r="F16" s="29"/>
      <c r="G16" s="29"/>
      <c r="H16" s="29"/>
      <c r="I16" s="29"/>
      <c r="J16" s="29"/>
      <c r="K16" s="29"/>
      <c r="L16" s="29"/>
      <c r="M16" s="29"/>
      <c r="N16" s="29"/>
      <c r="O16" s="263" t="str">
        <f>VLOOKUP(VLOOKUP($A$5,'Start List'!$J$9:$Q$14,8,FALSE)&amp;A23,Data!$D$2:$H$97,3,FALSE)</f>
        <v/>
      </c>
      <c r="P16" s="264"/>
      <c r="Q16" s="266"/>
      <c r="R16" s="266"/>
      <c r="S16" s="266"/>
      <c r="T16" s="266"/>
      <c r="U16" s="269">
        <f>IF(P14&lt;P16,2,IF(AND(P16=P14,P16&gt;0),1,0))</f>
        <v>0</v>
      </c>
      <c r="V16" s="269">
        <f>IF(Q14&lt;Q16,2,IF(AND(Q16=Q14,Q16&gt;0),1,0))</f>
        <v>0</v>
      </c>
      <c r="W16" s="269">
        <f>IF(R14&lt;R16,2,IF(AND(R16=R14,R16&gt;0),1,0))</f>
        <v>0</v>
      </c>
      <c r="X16" s="269">
        <f>IF(S14&lt;S16,2,IF(AND(S16=S14,S16&gt;0),1,0))</f>
        <v>0</v>
      </c>
      <c r="Y16" s="269">
        <f>IF(T14&lt;T16,2,IF(AND(T16=T14,T16&gt;0),1,0))</f>
        <v>0</v>
      </c>
      <c r="Z16" s="277">
        <f>SUM(U16:Y17)</f>
        <v>0</v>
      </c>
      <c r="AA16" s="17"/>
      <c r="AB16" s="19"/>
      <c r="AC16" s="254"/>
      <c r="AD16" s="258"/>
      <c r="AE16" s="259"/>
      <c r="AF16" s="259"/>
      <c r="AG16" s="259"/>
      <c r="AH16" s="259"/>
      <c r="AI16" s="259"/>
      <c r="AJ16" s="259"/>
      <c r="AK16" s="259"/>
      <c r="AL16" s="259"/>
      <c r="AM16" s="260"/>
      <c r="AN16" s="276"/>
      <c r="AO16" s="14"/>
    </row>
    <row r="17" spans="1:63" ht="6.75" customHeight="1" x14ac:dyDescent="0.2">
      <c r="A17" s="254">
        <v>8</v>
      </c>
      <c r="B17" s="255" t="str">
        <f ca="1">IF(A17=" "," ",IFERROR(VLOOKUP(LARGE(INDIRECT(VLOOKUP($A$5,'Start List'!$J$9:$Q$14,5,FALSE)),A17),'Start List'!$B$15:$V$139,3,FALSE),"bye to the next round"))</f>
        <v>Penezić Ema</v>
      </c>
      <c r="C17" s="256"/>
      <c r="D17" s="256"/>
      <c r="E17" s="256"/>
      <c r="F17" s="256"/>
      <c r="G17" s="256"/>
      <c r="H17" s="256"/>
      <c r="I17" s="256"/>
      <c r="J17" s="256"/>
      <c r="K17" s="257"/>
      <c r="L17" s="261" t="str">
        <f ca="1">IFERROR(VLOOKUP(LARGE(INDIRECT(VLOOKUP($A$5,'Start List'!$J$9:$Q$14,5,FALSE)),Cadets!A17),'Start List'!$B$15:$V$139,7,FALSE)," ")</f>
        <v xml:space="preserve"> </v>
      </c>
      <c r="M17" s="2"/>
      <c r="N17" s="5"/>
      <c r="O17" s="263"/>
      <c r="P17" s="264"/>
      <c r="Q17" s="266"/>
      <c r="R17" s="266"/>
      <c r="S17" s="266"/>
      <c r="T17" s="266"/>
      <c r="U17" s="269"/>
      <c r="V17" s="269"/>
      <c r="W17" s="269"/>
      <c r="X17" s="269"/>
      <c r="Y17" s="269"/>
      <c r="Z17" s="277"/>
      <c r="AA17" s="18"/>
      <c r="AB17" s="1"/>
      <c r="AO17" s="9"/>
      <c r="AQ17" s="278" t="str">
        <f>VLOOKUP("GMM",Translation!$A$1:$E$57,Data!$AP$2,FALSE)</f>
        <v>Gold Medal Match</v>
      </c>
      <c r="AR17" s="278"/>
      <c r="AS17" s="278"/>
      <c r="AT17" s="278"/>
      <c r="AU17" s="278"/>
      <c r="AV17" s="278"/>
      <c r="AW17" s="278"/>
      <c r="AX17" s="278"/>
      <c r="AY17" s="278"/>
      <c r="AZ17" s="278"/>
      <c r="BA17" s="278"/>
      <c r="BB17" s="278"/>
    </row>
    <row r="18" spans="1:63" ht="6.75" customHeight="1" thickBot="1" x14ac:dyDescent="0.25">
      <c r="A18" s="270"/>
      <c r="B18" s="258"/>
      <c r="C18" s="259"/>
      <c r="D18" s="259"/>
      <c r="E18" s="259"/>
      <c r="F18" s="259"/>
      <c r="G18" s="259"/>
      <c r="H18" s="259"/>
      <c r="I18" s="259"/>
      <c r="J18" s="259"/>
      <c r="K18" s="260"/>
      <c r="L18" s="262"/>
      <c r="M18" s="14"/>
      <c r="AA18" s="9"/>
      <c r="AO18" s="9"/>
      <c r="AQ18" s="278"/>
      <c r="AR18" s="278"/>
      <c r="AS18" s="278"/>
      <c r="AT18" s="278"/>
      <c r="AU18" s="278"/>
      <c r="AV18" s="278"/>
      <c r="AW18" s="278"/>
      <c r="AX18" s="278"/>
      <c r="AY18" s="278"/>
      <c r="AZ18" s="278"/>
      <c r="BA18" s="278"/>
      <c r="BB18" s="278"/>
    </row>
    <row r="19" spans="1:63" ht="6.75" customHeight="1" thickBot="1" x14ac:dyDescent="0.25">
      <c r="A19" s="263" t="str">
        <f>VLOOKUP(VLOOKUP($A$5,'Start List'!$J$9:$Q$14,8,FALSE)&amp;A17,Data!$D$2:$H$97,2,FALSE)</f>
        <v/>
      </c>
      <c r="B19" s="274"/>
      <c r="C19" s="271"/>
      <c r="D19" s="271"/>
      <c r="E19" s="271"/>
      <c r="F19" s="271"/>
      <c r="G19" s="268">
        <f>IF(B19&gt;B21,2,IF(AND(B21=B19,B19&gt;0),1,0))</f>
        <v>0</v>
      </c>
      <c r="H19" s="268">
        <f>IF(C19&gt;C21,2,IF(AND(C21=C19,C19&gt;0),1,0))</f>
        <v>0</v>
      </c>
      <c r="I19" s="268">
        <f>IF(D19&gt;D21,2,IF(AND(D21=D19,D19&gt;0),1,0))</f>
        <v>0</v>
      </c>
      <c r="J19" s="268">
        <f>IF(E19&gt;E21,2,IF(AND(E21=E19,E19&gt;0),1,0))</f>
        <v>0</v>
      </c>
      <c r="K19" s="268">
        <f>IF(F19&gt;F21,2,IF(AND(F21=F19,F19&gt;0),1,0))</f>
        <v>0</v>
      </c>
      <c r="L19" s="272">
        <f>SUM(G19:K20)</f>
        <v>0</v>
      </c>
      <c r="M19" s="9"/>
      <c r="AA19" s="9"/>
      <c r="AO19" s="9"/>
    </row>
    <row r="20" spans="1:63" ht="6.75" customHeight="1" x14ac:dyDescent="0.2">
      <c r="A20" s="263"/>
      <c r="B20" s="264"/>
      <c r="C20" s="266"/>
      <c r="D20" s="266"/>
      <c r="E20" s="266"/>
      <c r="F20" s="266"/>
      <c r="G20" s="269"/>
      <c r="H20" s="269"/>
      <c r="I20" s="269"/>
      <c r="J20" s="269"/>
      <c r="K20" s="269"/>
      <c r="L20" s="273"/>
      <c r="M20" s="15"/>
      <c r="O20" s="254" t="str">
        <f ca="1">IF(B23="bye to the next round",A17,IF(AND(L19&gt;L21,L19&gt;4),A17,IF(AND(L21&gt;L19,L21&gt;4),A23,IF(AND(L19=5,L21=5),MIN(A17,A23)," "))))</f>
        <v xml:space="preserve"> </v>
      </c>
      <c r="P20" s="255" t="str">
        <f ca="1">IF(O20=" "," ",IFERROR(VLOOKUP(LARGE(INDIRECT(VLOOKUP($A$5,'Start List'!$J$9:$Q$14,5,FALSE)),O20),'Start List'!$B$15:$V$139,3,FALSE),"bye to the next round"))</f>
        <v xml:space="preserve"> </v>
      </c>
      <c r="Q20" s="256"/>
      <c r="R20" s="256"/>
      <c r="S20" s="256"/>
      <c r="T20" s="256"/>
      <c r="U20" s="256"/>
      <c r="V20" s="256"/>
      <c r="W20" s="256"/>
      <c r="X20" s="256"/>
      <c r="Y20" s="257"/>
      <c r="Z20" s="261" t="str">
        <f ca="1">IFERROR(VLOOKUP(LARGE(INDIRECT(VLOOKUP($A$5,'Start List'!$J$9:$Q$14,5,FALSE)),Cadets!O20),'Start List'!$B$15:$V$139,7,FALSE)," ")</f>
        <v xml:space="preserve"> </v>
      </c>
      <c r="AA20" s="8"/>
      <c r="AO20" s="9"/>
      <c r="AQ20" s="254" t="str">
        <f>IF(AND(AN24&gt;AN26,AN24&gt;4),AC15,IF(AND(AN26&gt;AN24,AN26&gt;4),AC35,IF(AND(AN24=5,AN26=5),MIN(AC15,AC35)," ")))</f>
        <v xml:space="preserve"> </v>
      </c>
      <c r="AR20" s="255" t="str">
        <f ca="1">IF(AQ20=" "," ",IFERROR(VLOOKUP(LARGE(INDIRECT(VLOOKUP($A$5,'Start List'!$J$9:$Q$14,5,FALSE)),AQ20),'Start List'!$B$15:$V$139,3,FALSE),"bye to the next round"))</f>
        <v xml:space="preserve"> </v>
      </c>
      <c r="AS20" s="256"/>
      <c r="AT20" s="256"/>
      <c r="AU20" s="256"/>
      <c r="AV20" s="256"/>
      <c r="AW20" s="256"/>
      <c r="AX20" s="256"/>
      <c r="AY20" s="256"/>
      <c r="AZ20" s="256"/>
      <c r="BA20" s="257"/>
      <c r="BB20" s="261" t="str">
        <f ca="1">IFERROR(VLOOKUP(LARGE(INDIRECT(VLOOKUP($A$5,'Start List'!$J$9:$Q$14,5,FALSE)),Cadets!AQ20),'Start List'!$B$15:$V$139,7,FALSE)," ")</f>
        <v xml:space="preserve"> </v>
      </c>
    </row>
    <row r="21" spans="1:63" ht="6.75" customHeight="1" thickBot="1" x14ac:dyDescent="0.25">
      <c r="A21" s="263" t="str">
        <f>VLOOKUP(VLOOKUP($A$5,'Start List'!$J$9:$Q$14,8,FALSE)&amp;A23,Data!$D$2:$H$97,2,FALSE)</f>
        <v/>
      </c>
      <c r="B21" s="264"/>
      <c r="C21" s="266"/>
      <c r="D21" s="266"/>
      <c r="E21" s="266"/>
      <c r="F21" s="266"/>
      <c r="G21" s="268">
        <f>IF(B19&lt;B21,2,IF(AND(B21=B19,B21&gt;0),1,0))</f>
        <v>0</v>
      </c>
      <c r="H21" s="268">
        <f>IF(C19&lt;C21,2,IF(AND(C21=C19,C21&gt;0),1,0))</f>
        <v>0</v>
      </c>
      <c r="I21" s="268">
        <f>IF(D19&lt;D21,2,IF(AND(D21=D19,D21&gt;0),1,0))</f>
        <v>0</v>
      </c>
      <c r="J21" s="268">
        <f>IF(E19&lt;E21,2,IF(AND(E21=E19,E21&gt;0),1,0))</f>
        <v>0</v>
      </c>
      <c r="K21" s="268">
        <f>IF(F19&lt;F21,2,IF(AND(F21=F19,F21&gt;0),1,0))</f>
        <v>0</v>
      </c>
      <c r="L21" s="272">
        <f>SUM(G21:K22)</f>
        <v>0</v>
      </c>
      <c r="M21" s="15"/>
      <c r="N21" s="10"/>
      <c r="O21" s="254"/>
      <c r="P21" s="258"/>
      <c r="Q21" s="259"/>
      <c r="R21" s="259"/>
      <c r="S21" s="259"/>
      <c r="T21" s="259"/>
      <c r="U21" s="259"/>
      <c r="V21" s="259"/>
      <c r="W21" s="259"/>
      <c r="X21" s="259"/>
      <c r="Y21" s="260"/>
      <c r="Z21" s="262"/>
      <c r="AA21" s="13"/>
      <c r="AO21" s="9"/>
      <c r="AQ21" s="254"/>
      <c r="AR21" s="258"/>
      <c r="AS21" s="259"/>
      <c r="AT21" s="259"/>
      <c r="AU21" s="259"/>
      <c r="AV21" s="259"/>
      <c r="AW21" s="259"/>
      <c r="AX21" s="259"/>
      <c r="AY21" s="259"/>
      <c r="AZ21" s="259"/>
      <c r="BA21" s="260"/>
      <c r="BB21" s="262"/>
      <c r="BC21" s="14"/>
    </row>
    <row r="22" spans="1:63" ht="6.75" customHeight="1" thickBot="1" x14ac:dyDescent="0.25">
      <c r="A22" s="263"/>
      <c r="B22" s="265"/>
      <c r="C22" s="267"/>
      <c r="D22" s="267"/>
      <c r="E22" s="267"/>
      <c r="F22" s="267"/>
      <c r="G22" s="269"/>
      <c r="H22" s="269"/>
      <c r="I22" s="269"/>
      <c r="J22" s="269"/>
      <c r="K22" s="269"/>
      <c r="L22" s="273"/>
      <c r="M22" s="15"/>
      <c r="O22" s="7"/>
      <c r="AO22" s="9"/>
      <c r="BC22" s="9"/>
    </row>
    <row r="23" spans="1:63" ht="6.75" customHeight="1" x14ac:dyDescent="0.2">
      <c r="A23" s="254">
        <v>9</v>
      </c>
      <c r="B23" s="255" t="str">
        <f ca="1">IF(A23=" "," ",IFERROR(VLOOKUP(LARGE(INDIRECT(VLOOKUP($A$5,'Start List'!$J$9:$Q$14,5,FALSE)),A23),'Start List'!$B$15:$V$139,3,FALSE),"bye to the next round"))</f>
        <v>Mikeštík Martin</v>
      </c>
      <c r="C23" s="256"/>
      <c r="D23" s="256"/>
      <c r="E23" s="256"/>
      <c r="F23" s="256"/>
      <c r="G23" s="256"/>
      <c r="H23" s="256"/>
      <c r="I23" s="256"/>
      <c r="J23" s="256"/>
      <c r="K23" s="257"/>
      <c r="L23" s="261" t="str">
        <f ca="1">IFERROR(VLOOKUP(LARGE(INDIRECT(VLOOKUP($A$5,'Start List'!$J$9:$Q$14,5,FALSE)),Cadets!A23),'Start List'!$B$15:$V$139,7,FALSE)," ")</f>
        <v xml:space="preserve"> </v>
      </c>
      <c r="M23" s="8"/>
      <c r="O23" s="7"/>
      <c r="AO23" s="9"/>
      <c r="BC23" s="9"/>
    </row>
    <row r="24" spans="1:63" ht="6.75" customHeight="1" thickBot="1" x14ac:dyDescent="0.25">
      <c r="A24" s="254"/>
      <c r="B24" s="258"/>
      <c r="C24" s="259"/>
      <c r="D24" s="259"/>
      <c r="E24" s="259"/>
      <c r="F24" s="259"/>
      <c r="G24" s="259"/>
      <c r="H24" s="259"/>
      <c r="I24" s="259"/>
      <c r="J24" s="259"/>
      <c r="K24" s="260"/>
      <c r="L24" s="262"/>
      <c r="M24" s="13"/>
      <c r="AC24" s="263">
        <f>VLOOKUP(VLOOKUP($A$5,'Start List'!$J$9:$Q$14,8,FALSE)&amp;A7,Data!$D$2:$H$97,4,FALSE)</f>
        <v>20</v>
      </c>
      <c r="AD24" s="266"/>
      <c r="AE24" s="266"/>
      <c r="AF24" s="266"/>
      <c r="AG24" s="266"/>
      <c r="AH24" s="266"/>
      <c r="AI24" s="269">
        <f>IF(AD24&gt;AD26,2,IF(AND(AD26=AD24,AD24&gt;0),1,0))</f>
        <v>0</v>
      </c>
      <c r="AJ24" s="269">
        <f>IF(AE24&gt;AE26,2,IF(AND(AE26=AE24,AE24&gt;0),1,0))</f>
        <v>0</v>
      </c>
      <c r="AK24" s="269">
        <f>IF(AF24&gt;AF26,2,IF(AND(AF26=AF24,AF24&gt;0),1,0))</f>
        <v>0</v>
      </c>
      <c r="AL24" s="269">
        <f>IF(AG24&gt;AG26,2,IF(AND(AG26=AG24,AG24&gt;0),1,0))</f>
        <v>0</v>
      </c>
      <c r="AM24" s="269">
        <f>IF(AH24&gt;AH26,2,IF(AND(AH26=AH24,AH24&gt;0),1,0))</f>
        <v>0</v>
      </c>
      <c r="AN24" s="277">
        <f>SUM(AI24:AM25)</f>
        <v>0</v>
      </c>
      <c r="AO24" s="9"/>
      <c r="AQ24" s="263">
        <f>VLOOKUP(VLOOKUP($A$5,'Start List'!$J$9:$Q$14,8,FALSE)&amp;A7,Data!$D$2:$H$97,5,FALSE)</f>
        <v>8</v>
      </c>
      <c r="AR24" s="266"/>
      <c r="AS24" s="266"/>
      <c r="AT24" s="266"/>
      <c r="AU24" s="266"/>
      <c r="AV24" s="266"/>
      <c r="AW24" s="269">
        <f>IF(AR24&gt;AR26,2,IF(AND(AR26=AR24,AR24&gt;0),1,0))</f>
        <v>0</v>
      </c>
      <c r="AX24" s="269">
        <f>IF(AS24&gt;AS26,2,IF(AND(AS26=AS24,AS24&gt;0),1,0))</f>
        <v>0</v>
      </c>
      <c r="AY24" s="269">
        <f>IF(AT24&gt;AT26,2,IF(AND(AT26=AT24,AT24&gt;0),1,0))</f>
        <v>0</v>
      </c>
      <c r="AZ24" s="269">
        <f>IF(AU24&gt;AU26,2,IF(AND(AU26=AU24,AU24&gt;0),1,0))</f>
        <v>0</v>
      </c>
      <c r="BA24" s="269">
        <f>IF(AV24&gt;AV26,2,IF(AND(AV26=AV24,AV24&gt;0),1,0))</f>
        <v>0</v>
      </c>
      <c r="BB24" s="277">
        <f>SUM(AW24:BA25)</f>
        <v>0</v>
      </c>
      <c r="BC24" s="9"/>
    </row>
    <row r="25" spans="1:63" ht="6.75" customHeight="1" x14ac:dyDescent="0.2">
      <c r="A25" s="30"/>
      <c r="AC25" s="263"/>
      <c r="AD25" s="266"/>
      <c r="AE25" s="266"/>
      <c r="AF25" s="266"/>
      <c r="AG25" s="266"/>
      <c r="AH25" s="266"/>
      <c r="AI25" s="269"/>
      <c r="AJ25" s="269"/>
      <c r="AK25" s="269"/>
      <c r="AL25" s="269"/>
      <c r="AM25" s="269"/>
      <c r="AN25" s="277"/>
      <c r="AO25" s="9"/>
      <c r="AQ25" s="263"/>
      <c r="AR25" s="266"/>
      <c r="AS25" s="266"/>
      <c r="AT25" s="266"/>
      <c r="AU25" s="266"/>
      <c r="AV25" s="266"/>
      <c r="AW25" s="269"/>
      <c r="AX25" s="269"/>
      <c r="AY25" s="269"/>
      <c r="AZ25" s="269"/>
      <c r="BA25" s="269"/>
      <c r="BB25" s="277"/>
      <c r="BC25" s="9"/>
      <c r="BE25" s="254" t="str">
        <f>IF(AND(BB24&gt;BB26,BB24&gt;4),AQ20,IF(AND(BB26&gt;BB24,BB26&gt;4),AQ30,IF(AND(BB24=5,BB26=5),MIN(AQ20,AQ30)," ")))</f>
        <v xml:space="preserve"> </v>
      </c>
      <c r="BF25" s="279" t="str">
        <f ca="1">IF(BE25=" "," ",IFERROR(VLOOKUP(LARGE(INDIRECT(VLOOKUP($A$5,'Start List'!$J$9:$Q$14,5,FALSE)),BE25),'Start List'!$B$15:$V$139,3,FALSE),"bye to the next round"))</f>
        <v xml:space="preserve"> </v>
      </c>
      <c r="BG25" s="256"/>
      <c r="BH25" s="256"/>
      <c r="BI25" s="256"/>
      <c r="BJ25" s="257"/>
      <c r="BK25" s="261" t="str">
        <f ca="1">IFERROR(VLOOKUP(LARGE(INDIRECT(VLOOKUP($A$5,'Start List'!$J$9:$Q$14,5,FALSE)),BE25),'Start List'!$B$15:$V$139,7,FALSE)," ")</f>
        <v xml:space="preserve"> </v>
      </c>
    </row>
    <row r="26" spans="1:63" ht="6.75" customHeight="1" thickBo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63">
        <f>VLOOKUP(VLOOKUP($A$5,'Start List'!$J$9:$Q$14,8,FALSE)&amp;A43,Data!$D$2:$H$97,4,FALSE)</f>
        <v>21</v>
      </c>
      <c r="AD26" s="266"/>
      <c r="AE26" s="266"/>
      <c r="AF26" s="266"/>
      <c r="AG26" s="266"/>
      <c r="AH26" s="266"/>
      <c r="AI26" s="269">
        <f>IF(AD24&lt;AD26,2,IF(AND(AD26=AD24,AD26&gt;0),1,0))</f>
        <v>0</v>
      </c>
      <c r="AJ26" s="269">
        <f>IF(AE24&lt;AE26,2,IF(AND(AE26=AE24,AE26&gt;0),1,0))</f>
        <v>0</v>
      </c>
      <c r="AK26" s="269">
        <f>IF(AF24&lt;AF26,2,IF(AND(AF26=AF24,AF26&gt;0),1,0))</f>
        <v>0</v>
      </c>
      <c r="AL26" s="269">
        <f>IF(AG24&lt;AG26,2,IF(AND(AG26=AG24,AG26&gt;0),1,0))</f>
        <v>0</v>
      </c>
      <c r="AM26" s="269">
        <f>IF(AH24&lt;AH26,2,IF(AND(AH26=AH24,AH26&gt;0),1,0))</f>
        <v>0</v>
      </c>
      <c r="AN26" s="277">
        <f>SUM(AI26:AM27)</f>
        <v>0</v>
      </c>
      <c r="AO26" s="9"/>
      <c r="AP26" s="24"/>
      <c r="AQ26" s="263">
        <f>VLOOKUP(VLOOKUP($A$5,'Start List'!$J$9:$Q$14,8,FALSE)&amp;A47,Data!$D$2:$H$97,5,FALSE)</f>
        <v>9</v>
      </c>
      <c r="AR26" s="266"/>
      <c r="AS26" s="266"/>
      <c r="AT26" s="266"/>
      <c r="AU26" s="266"/>
      <c r="AV26" s="266"/>
      <c r="AW26" s="269">
        <f>IF(AR24&lt;AR26,2,IF(AND(AR26=AR24,AR26&gt;0),1,0))</f>
        <v>0</v>
      </c>
      <c r="AX26" s="269">
        <f>IF(AS24&lt;AS26,2,IF(AND(AS26=AS24,AS26&gt;0),1,0))</f>
        <v>0</v>
      </c>
      <c r="AY26" s="269">
        <f>IF(AT24&lt;AT26,2,IF(AND(AT26=AT24,AT26&gt;0),1,0))</f>
        <v>0</v>
      </c>
      <c r="AZ26" s="269">
        <f>IF(AU24&lt;AU26,2,IF(AND(AU26=AU24,AU26&gt;0),1,0))</f>
        <v>0</v>
      </c>
      <c r="BA26" s="269">
        <f>IF(AV24&lt;AV26,2,IF(AND(AV26=AV24,AV26&gt;0),1,0))</f>
        <v>0</v>
      </c>
      <c r="BB26" s="277">
        <f>SUM(AW26:BA27)</f>
        <v>0</v>
      </c>
      <c r="BC26" s="9"/>
      <c r="BD26" s="25"/>
      <c r="BE26" s="254"/>
      <c r="BF26" s="258"/>
      <c r="BG26" s="259"/>
      <c r="BH26" s="259"/>
      <c r="BI26" s="259"/>
      <c r="BJ26" s="260"/>
      <c r="BK26" s="262"/>
    </row>
    <row r="27" spans="1:63" ht="6.75" customHeight="1" x14ac:dyDescent="0.2">
      <c r="A27" s="254">
        <v>4</v>
      </c>
      <c r="B27" s="255" t="str">
        <f ca="1">IF(A27=" "," ",IFERROR(VLOOKUP(LARGE(INDIRECT(VLOOKUP($A$5,'Start List'!$J$9:$Q$14,5,FALSE)),A27),'Start List'!$B$15:$V$139,3,FALSE),"bye to the next round"))</f>
        <v>Stela Čuk</v>
      </c>
      <c r="C27" s="256"/>
      <c r="D27" s="256"/>
      <c r="E27" s="256"/>
      <c r="F27" s="256"/>
      <c r="G27" s="256"/>
      <c r="H27" s="256"/>
      <c r="I27" s="256"/>
      <c r="J27" s="256"/>
      <c r="K27" s="257"/>
      <c r="L27" s="261" t="str">
        <f ca="1">IFERROR(VLOOKUP(LARGE(INDIRECT(VLOOKUP($A$5,'Start List'!$J$9:$Q$14,5,FALSE)),Cadets!A27),'Start List'!$B$15:$V$139,7,FALSE)," ")</f>
        <v xml:space="preserve"> </v>
      </c>
      <c r="M27" s="2"/>
      <c r="N27" s="5"/>
      <c r="O27" s="11"/>
      <c r="P27" s="1"/>
      <c r="Q27" s="1"/>
      <c r="R27" s="1"/>
      <c r="S27" s="1"/>
      <c r="T27" s="1"/>
      <c r="U27" s="1"/>
      <c r="V27" s="1"/>
      <c r="W27" s="1"/>
      <c r="X27" s="1"/>
      <c r="Y27" s="1"/>
      <c r="Z27" s="1"/>
      <c r="AA27" s="1"/>
      <c r="AB27" s="1"/>
      <c r="AC27" s="263"/>
      <c r="AD27" s="266"/>
      <c r="AE27" s="266"/>
      <c r="AF27" s="266"/>
      <c r="AG27" s="266"/>
      <c r="AH27" s="266"/>
      <c r="AI27" s="269"/>
      <c r="AJ27" s="269"/>
      <c r="AK27" s="269"/>
      <c r="AL27" s="269"/>
      <c r="AM27" s="269"/>
      <c r="AN27" s="277"/>
      <c r="AO27" s="9"/>
      <c r="AQ27" s="263"/>
      <c r="AR27" s="266"/>
      <c r="AS27" s="266"/>
      <c r="AT27" s="266"/>
      <c r="AU27" s="266"/>
      <c r="AV27" s="266"/>
      <c r="AW27" s="269"/>
      <c r="AX27" s="269"/>
      <c r="AY27" s="269"/>
      <c r="AZ27" s="269"/>
      <c r="BA27" s="269"/>
      <c r="BB27" s="277"/>
      <c r="BC27" s="9"/>
    </row>
    <row r="28" spans="1:63" ht="6.75" customHeight="1" thickBot="1" x14ac:dyDescent="0.25">
      <c r="A28" s="270"/>
      <c r="B28" s="258"/>
      <c r="C28" s="259"/>
      <c r="D28" s="259"/>
      <c r="E28" s="259"/>
      <c r="F28" s="259"/>
      <c r="G28" s="259"/>
      <c r="H28" s="259"/>
      <c r="I28" s="259"/>
      <c r="J28" s="259"/>
      <c r="K28" s="260"/>
      <c r="L28" s="262"/>
      <c r="M28" s="14"/>
      <c r="AO28" s="9"/>
      <c r="BC28" s="9"/>
    </row>
    <row r="29" spans="1:63" ht="6.75" customHeight="1" thickBot="1" x14ac:dyDescent="0.25">
      <c r="A29" s="263" t="str">
        <f>VLOOKUP(VLOOKUP($A$5,'Start List'!$J$9:$Q$14,8,FALSE)&amp;A27,Data!$D$2:$H$97,2,FALSE)</f>
        <v/>
      </c>
      <c r="B29" s="274"/>
      <c r="C29" s="271"/>
      <c r="D29" s="271"/>
      <c r="E29" s="271"/>
      <c r="F29" s="271"/>
      <c r="G29" s="268">
        <f>IF(B29&gt;B31,2,IF(AND(B31=B29,B29&gt;0),1,0))</f>
        <v>0</v>
      </c>
      <c r="H29" s="268">
        <f>IF(C29&gt;C31,2,IF(AND(C31=C29,C29&gt;0),1,0))</f>
        <v>0</v>
      </c>
      <c r="I29" s="268">
        <f>IF(D29&gt;D31,2,IF(AND(D31=D29,D29&gt;0),1,0))</f>
        <v>0</v>
      </c>
      <c r="J29" s="268">
        <f>IF(E29&gt;E31,2,IF(AND(E31=E29,E29&gt;0),1,0))</f>
        <v>0</v>
      </c>
      <c r="K29" s="268">
        <f>IF(F29&gt;F31,2,IF(AND(F31=F29,F29&gt;0),1,0))</f>
        <v>0</v>
      </c>
      <c r="L29" s="272">
        <f>SUM(G29:K30)</f>
        <v>0</v>
      </c>
      <c r="M29" s="9"/>
      <c r="AO29" s="9"/>
      <c r="AQ29" s="22"/>
      <c r="BC29" s="9"/>
    </row>
    <row r="30" spans="1:63" ht="6.75" customHeight="1" x14ac:dyDescent="0.2">
      <c r="A30" s="263"/>
      <c r="B30" s="264"/>
      <c r="C30" s="266"/>
      <c r="D30" s="266"/>
      <c r="E30" s="266"/>
      <c r="F30" s="266"/>
      <c r="G30" s="269"/>
      <c r="H30" s="269"/>
      <c r="I30" s="269"/>
      <c r="J30" s="269"/>
      <c r="K30" s="269"/>
      <c r="L30" s="273"/>
      <c r="M30" s="15"/>
      <c r="O30" s="254">
        <f ca="1">IF(B33="bye to the next round",A27,IF(AND(L29&gt;L31,L29&gt;4),A27,IF(AND(L31&gt;L29,L31&gt;4),A33,IF(AND(L29=5,L31=5),MIN(A27,A33)," "))))</f>
        <v>4</v>
      </c>
      <c r="P30" s="255" t="str">
        <f ca="1">IF(O30=" "," ",IFERROR(VLOOKUP(LARGE(INDIRECT(VLOOKUP($A$5,'Start List'!$J$9:$Q$14,5,FALSE)),O30),'Start List'!$B$15:$V$139,3,FALSE),"bye to the next round"))</f>
        <v>Stela Čuk</v>
      </c>
      <c r="Q30" s="256"/>
      <c r="R30" s="256"/>
      <c r="S30" s="256"/>
      <c r="T30" s="256"/>
      <c r="U30" s="256"/>
      <c r="V30" s="256"/>
      <c r="W30" s="256"/>
      <c r="X30" s="256"/>
      <c r="Y30" s="257"/>
      <c r="Z30" s="261" t="str">
        <f ca="1">IFERROR(VLOOKUP(LARGE(INDIRECT(VLOOKUP($A$5,'Start List'!$J$9:$Q$14,5,FALSE)),Cadets!O30),'Start List'!$B$15:$V$139,7,FALSE)," ")</f>
        <v xml:space="preserve"> </v>
      </c>
      <c r="AA30" s="16"/>
      <c r="AO30" s="9"/>
      <c r="AQ30" s="254" t="str">
        <f>IF(AND(AN64&gt;AN66,AN64&gt;4),AC55,IF(AND(AN66&gt;AN64,AN66&gt;4),AC75,IF(AND(AN64=5,AN66=5),MIN(AC55,AC75)," ")))</f>
        <v xml:space="preserve"> </v>
      </c>
      <c r="AR30" s="255" t="str">
        <f ca="1">IF(AQ30=" "," ",IFERROR(VLOOKUP(LARGE(INDIRECT(VLOOKUP($A$5,'Start List'!$J$9:$Q$14,5,FALSE)),AQ30),'Start List'!$B$15:$V$139,3,FALSE),"bye to the next round"))</f>
        <v xml:space="preserve"> </v>
      </c>
      <c r="AS30" s="256"/>
      <c r="AT30" s="256"/>
      <c r="AU30" s="256"/>
      <c r="AV30" s="256"/>
      <c r="AW30" s="256"/>
      <c r="AX30" s="256"/>
      <c r="AY30" s="256"/>
      <c r="AZ30" s="256"/>
      <c r="BA30" s="257"/>
      <c r="BB30" s="261" t="str">
        <f ca="1">IFERROR(VLOOKUP(LARGE(INDIRECT(VLOOKUP($A$5,'Start List'!$J$9:$Q$14,5,FALSE)),Cadets!AQ30),'Start List'!$B$15:$V$139,7,FALSE)," ")</f>
        <v xml:space="preserve"> </v>
      </c>
      <c r="BC30" s="20"/>
    </row>
    <row r="31" spans="1:63" ht="6.75" customHeight="1" thickBot="1" x14ac:dyDescent="0.25">
      <c r="A31" s="263" t="str">
        <f>VLOOKUP(VLOOKUP($A$5,'Start List'!$J$9:$Q$14,8,FALSE)&amp;A33,Data!$D$2:$H$97,2,FALSE)</f>
        <v/>
      </c>
      <c r="B31" s="264"/>
      <c r="C31" s="266"/>
      <c r="D31" s="266"/>
      <c r="E31" s="266"/>
      <c r="F31" s="266"/>
      <c r="G31" s="268">
        <f>IF(B29&lt;B31,2,IF(AND(B31=B29,B31&gt;0),1,0))</f>
        <v>0</v>
      </c>
      <c r="H31" s="268">
        <f>IF(C29&lt;C31,2,IF(AND(C31=C29,C31&gt;0),1,0))</f>
        <v>0</v>
      </c>
      <c r="I31" s="268">
        <f>IF(D29&lt;D31,2,IF(AND(D31=D29,D31&gt;0),1,0))</f>
        <v>0</v>
      </c>
      <c r="J31" s="268">
        <f>IF(E29&lt;E31,2,IF(AND(E31=E29,E31&gt;0),1,0))</f>
        <v>0</v>
      </c>
      <c r="K31" s="268">
        <f>IF(F29&lt;F31,2,IF(AND(F31=F29,F31&gt;0),1,0))</f>
        <v>0</v>
      </c>
      <c r="L31" s="272">
        <f>SUM(G31:K32)</f>
        <v>0</v>
      </c>
      <c r="M31" s="15"/>
      <c r="N31" s="10"/>
      <c r="O31" s="254"/>
      <c r="P31" s="258"/>
      <c r="Q31" s="259"/>
      <c r="R31" s="259"/>
      <c r="S31" s="259"/>
      <c r="T31" s="259"/>
      <c r="U31" s="259"/>
      <c r="V31" s="259"/>
      <c r="W31" s="259"/>
      <c r="X31" s="259"/>
      <c r="Y31" s="260"/>
      <c r="Z31" s="262"/>
      <c r="AA31" s="12"/>
      <c r="AO31" s="9"/>
      <c r="AQ31" s="254"/>
      <c r="AR31" s="258"/>
      <c r="AS31" s="259"/>
      <c r="AT31" s="259"/>
      <c r="AU31" s="259"/>
      <c r="AV31" s="259"/>
      <c r="AW31" s="259"/>
      <c r="AX31" s="259"/>
      <c r="AY31" s="259"/>
      <c r="AZ31" s="259"/>
      <c r="BA31" s="260"/>
      <c r="BB31" s="262"/>
      <c r="BC31" s="23"/>
    </row>
    <row r="32" spans="1:63" ht="6.75" customHeight="1" thickBot="1" x14ac:dyDescent="0.25">
      <c r="A32" s="263"/>
      <c r="B32" s="265"/>
      <c r="C32" s="267"/>
      <c r="D32" s="267"/>
      <c r="E32" s="267"/>
      <c r="F32" s="267"/>
      <c r="G32" s="269"/>
      <c r="H32" s="269"/>
      <c r="I32" s="269"/>
      <c r="J32" s="269"/>
      <c r="K32" s="269"/>
      <c r="L32" s="273"/>
      <c r="M32" s="15"/>
      <c r="O32" s="7"/>
      <c r="AA32" s="9"/>
      <c r="AO32" s="9"/>
      <c r="BC32" s="23"/>
    </row>
    <row r="33" spans="1:63" ht="6.75" customHeight="1" x14ac:dyDescent="0.2">
      <c r="A33" s="254">
        <v>13</v>
      </c>
      <c r="B33" s="255" t="str">
        <f ca="1">IF(A33=" "," ",IFERROR(VLOOKUP(LARGE(INDIRECT(VLOOKUP($A$5,'Start List'!$J$9:$Q$14,5,FALSE)),A33),'Start List'!$B$15:$V$139,3,FALSE),"bye to the next round"))</f>
        <v>bye to the next round</v>
      </c>
      <c r="C33" s="256"/>
      <c r="D33" s="256"/>
      <c r="E33" s="256"/>
      <c r="F33" s="256"/>
      <c r="G33" s="256"/>
      <c r="H33" s="256"/>
      <c r="I33" s="256"/>
      <c r="J33" s="256"/>
      <c r="K33" s="257"/>
      <c r="L33" s="261" t="str">
        <f ca="1">IFERROR(VLOOKUP(LARGE(INDIRECT(VLOOKUP($A$5,'Start List'!$J$9:$Q$14,5,FALSE)),Cadets!A33),'Start List'!$B$15:$V$139,7,FALSE)," ")</f>
        <v xml:space="preserve"> </v>
      </c>
      <c r="M33" s="8"/>
      <c r="O33" s="7"/>
      <c r="AA33" s="9"/>
      <c r="AO33" s="9"/>
      <c r="BC33" s="23"/>
    </row>
    <row r="34" spans="1:63" ht="6.75" customHeight="1" thickBot="1" x14ac:dyDescent="0.25">
      <c r="A34" s="254"/>
      <c r="B34" s="258"/>
      <c r="C34" s="259"/>
      <c r="D34" s="259"/>
      <c r="E34" s="259"/>
      <c r="F34" s="259"/>
      <c r="G34" s="259"/>
      <c r="H34" s="259"/>
      <c r="I34" s="259"/>
      <c r="J34" s="259"/>
      <c r="K34" s="260"/>
      <c r="L34" s="262"/>
      <c r="M34" s="13"/>
      <c r="O34" s="263" t="str">
        <f>VLOOKUP(VLOOKUP($A$5,'Start List'!$J$9:$Q$14,8,FALSE)&amp;A27,Data!$D$2:$H$97,3,FALSE)</f>
        <v/>
      </c>
      <c r="P34" s="266"/>
      <c r="Q34" s="266"/>
      <c r="R34" s="266"/>
      <c r="S34" s="266"/>
      <c r="T34" s="266"/>
      <c r="U34" s="269">
        <f>IF(P34&gt;P36,2,IF(AND(P36=P34,P34&gt;0),1,0))</f>
        <v>0</v>
      </c>
      <c r="V34" s="269">
        <f>IF(Q34&gt;Q36,2,IF(AND(Q36=Q34,Q34&gt;0),1,0))</f>
        <v>0</v>
      </c>
      <c r="W34" s="269">
        <f>IF(R34&gt;R36,2,IF(AND(R36=R34,R34&gt;0),1,0))</f>
        <v>0</v>
      </c>
      <c r="X34" s="269">
        <f>IF(S34&gt;S36,2,IF(AND(S36=S34,S34&gt;0),1,0))</f>
        <v>0</v>
      </c>
      <c r="Y34" s="269">
        <f>IF(T34&gt;T36,2,IF(AND(T36=T34,T34&gt;0),1,0))</f>
        <v>0</v>
      </c>
      <c r="Z34" s="277">
        <f>SUM(U34:Y35)</f>
        <v>0</v>
      </c>
      <c r="AA34" s="9"/>
      <c r="AO34" s="9"/>
      <c r="BC34" s="23"/>
    </row>
    <row r="35" spans="1:63" ht="6.75" customHeight="1" x14ac:dyDescent="0.2">
      <c r="A35" s="30"/>
      <c r="O35" s="263"/>
      <c r="P35" s="266"/>
      <c r="Q35" s="266"/>
      <c r="R35" s="266"/>
      <c r="S35" s="266"/>
      <c r="T35" s="266"/>
      <c r="U35" s="269"/>
      <c r="V35" s="269"/>
      <c r="W35" s="269"/>
      <c r="X35" s="269"/>
      <c r="Y35" s="269"/>
      <c r="Z35" s="277"/>
      <c r="AA35" s="9"/>
      <c r="AC35" s="254" t="str">
        <f ca="1">IF(P40="bye to the next round",O30,IF(AND(Z34&gt;Z36,Z34&gt;4),O30,IF(AND(Z36&gt;Z34,Z36&gt;4),O40,IF(AND(Z34=5,Z36=5),MIN(O30,O40)," "))))</f>
        <v xml:space="preserve"> </v>
      </c>
      <c r="AD35" s="255" t="str">
        <f ca="1">IF(AC35=" "," ",IFERROR(VLOOKUP(LARGE(INDIRECT(VLOOKUP($A$5,'Start List'!$J$9:$Q$14,5,FALSE)),AC35),'Start List'!$B$15:$V$139,3,FALSE),"bye to the next round"))</f>
        <v xml:space="preserve"> </v>
      </c>
      <c r="AE35" s="256"/>
      <c r="AF35" s="256"/>
      <c r="AG35" s="256"/>
      <c r="AH35" s="256"/>
      <c r="AI35" s="256"/>
      <c r="AJ35" s="256"/>
      <c r="AK35" s="256"/>
      <c r="AL35" s="256"/>
      <c r="AM35" s="257"/>
      <c r="AN35" s="275" t="str">
        <f ca="1">IFERROR(VLOOKUP(LARGE(INDIRECT(VLOOKUP($A$5,'Start List'!$J$9:$Q$14,5,FALSE)),Cadets!AC35),'Start List'!$B$15:$V$139,7,FALSE)," ")</f>
        <v xml:space="preserve"> </v>
      </c>
      <c r="AO35" s="8"/>
      <c r="BC35" s="23"/>
    </row>
    <row r="36" spans="1:63" ht="6.75" customHeight="1" thickBot="1" x14ac:dyDescent="0.25">
      <c r="A36" s="29"/>
      <c r="B36" s="29"/>
      <c r="C36" s="29"/>
      <c r="D36" s="29"/>
      <c r="E36" s="29"/>
      <c r="F36" s="29"/>
      <c r="G36" s="29"/>
      <c r="H36" s="29"/>
      <c r="I36" s="29"/>
      <c r="J36" s="29"/>
      <c r="K36" s="29"/>
      <c r="L36" s="29"/>
      <c r="M36" s="29"/>
      <c r="N36" s="29"/>
      <c r="O36" s="263" t="str">
        <f>VLOOKUP(VLOOKUP($A$5,'Start List'!$J$9:$Q$14,8,FALSE)&amp;A43,Data!$D$2:$H$97,3,FALSE)</f>
        <v/>
      </c>
      <c r="P36" s="266"/>
      <c r="Q36" s="266"/>
      <c r="R36" s="266"/>
      <c r="S36" s="266"/>
      <c r="T36" s="266"/>
      <c r="U36" s="269">
        <f>IF(P34&lt;P36,2,IF(AND(P36=P34,P36&gt;0),1,0))</f>
        <v>0</v>
      </c>
      <c r="V36" s="269">
        <f>IF(Q34&lt;Q36,2,IF(AND(Q36=Q34,Q36&gt;0),1,0))</f>
        <v>0</v>
      </c>
      <c r="W36" s="269">
        <f>IF(R34&lt;R36,2,IF(AND(R36=R34,R36&gt;0),1,0))</f>
        <v>0</v>
      </c>
      <c r="X36" s="269">
        <f>IF(S34&lt;S36,2,IF(AND(S36=S34,S36&gt;0),1,0))</f>
        <v>0</v>
      </c>
      <c r="Y36" s="269">
        <f>IF(T34&lt;T36,2,IF(AND(T36=T34,T36&gt;0),1,0))</f>
        <v>0</v>
      </c>
      <c r="Z36" s="277">
        <f>SUM(U36:Y37)</f>
        <v>0</v>
      </c>
      <c r="AA36" s="17"/>
      <c r="AB36" s="19"/>
      <c r="AC36" s="254"/>
      <c r="AD36" s="258"/>
      <c r="AE36" s="259"/>
      <c r="AF36" s="259"/>
      <c r="AG36" s="259"/>
      <c r="AH36" s="259"/>
      <c r="AI36" s="259"/>
      <c r="AJ36" s="259"/>
      <c r="AK36" s="259"/>
      <c r="AL36" s="259"/>
      <c r="AM36" s="260"/>
      <c r="AN36" s="276"/>
      <c r="AO36" s="13"/>
      <c r="BC36" s="23"/>
    </row>
    <row r="37" spans="1:63" ht="6.75" customHeight="1" x14ac:dyDescent="0.2">
      <c r="A37" s="254">
        <v>5</v>
      </c>
      <c r="B37" s="255" t="str">
        <f ca="1">IF(A37=" "," ",IFERROR(VLOOKUP(LARGE(INDIRECT(VLOOKUP($A$5,'Start List'!$J$9:$Q$14,5,FALSE)),A37),'Start List'!$B$15:$V$139,3,FALSE),"bye to the next round"))</f>
        <v>Fran Županić</v>
      </c>
      <c r="C37" s="256"/>
      <c r="D37" s="256"/>
      <c r="E37" s="256"/>
      <c r="F37" s="256"/>
      <c r="G37" s="256"/>
      <c r="H37" s="256"/>
      <c r="I37" s="256"/>
      <c r="J37" s="256"/>
      <c r="K37" s="257"/>
      <c r="L37" s="261" t="str">
        <f ca="1">IFERROR(VLOOKUP(LARGE(INDIRECT(VLOOKUP($A$5,'Start List'!$J$9:$Q$14,5,FALSE)),Cadets!A37),'Start List'!$B$15:$V$139,7,FALSE)," ")</f>
        <v xml:space="preserve"> </v>
      </c>
      <c r="M37" s="2"/>
      <c r="N37" s="5"/>
      <c r="O37" s="263"/>
      <c r="P37" s="266"/>
      <c r="Q37" s="266"/>
      <c r="R37" s="266"/>
      <c r="S37" s="266"/>
      <c r="T37" s="266"/>
      <c r="U37" s="269"/>
      <c r="V37" s="269"/>
      <c r="W37" s="269"/>
      <c r="X37" s="269"/>
      <c r="Y37" s="269"/>
      <c r="Z37" s="277"/>
      <c r="AA37" s="18"/>
      <c r="AB37" s="1"/>
      <c r="BC37" s="23"/>
    </row>
    <row r="38" spans="1:63" ht="6.75" customHeight="1" thickBot="1" x14ac:dyDescent="0.25">
      <c r="A38" s="270"/>
      <c r="B38" s="258"/>
      <c r="C38" s="259"/>
      <c r="D38" s="259"/>
      <c r="E38" s="259"/>
      <c r="F38" s="259"/>
      <c r="G38" s="259"/>
      <c r="H38" s="259"/>
      <c r="I38" s="259"/>
      <c r="J38" s="259"/>
      <c r="K38" s="260"/>
      <c r="L38" s="262"/>
      <c r="M38" s="14"/>
      <c r="AA38" s="9"/>
      <c r="BC38" s="23"/>
    </row>
    <row r="39" spans="1:63" ht="6.75" customHeight="1" thickBot="1" x14ac:dyDescent="0.25">
      <c r="A39" s="263" t="str">
        <f>VLOOKUP(VLOOKUP($A$5,'Start List'!$J$9:$Q$14,8,FALSE)&amp;A37,Data!$D$2:$H$97,2,FALSE)</f>
        <v/>
      </c>
      <c r="B39" s="274"/>
      <c r="C39" s="271"/>
      <c r="D39" s="271"/>
      <c r="E39" s="271"/>
      <c r="F39" s="271"/>
      <c r="G39" s="268">
        <f>IF(B39&gt;B41,2,IF(AND(B41=B39,B39&gt;0),1,0))</f>
        <v>0</v>
      </c>
      <c r="H39" s="268">
        <f>IF(C39&gt;C41,2,IF(AND(C41=C39,C39&gt;0),1,0))</f>
        <v>0</v>
      </c>
      <c r="I39" s="268">
        <f>IF(D39&gt;D41,2,IF(AND(D41=D39,D39&gt;0),1,0))</f>
        <v>0</v>
      </c>
      <c r="J39" s="268">
        <f>IF(E39&gt;E41,2,IF(AND(E41=E39,E39&gt;0),1,0))</f>
        <v>0</v>
      </c>
      <c r="K39" s="268">
        <f>IF(F39&gt;F41,2,IF(AND(F41=F39,F39&gt;0),1,0))</f>
        <v>0</v>
      </c>
      <c r="L39" s="272">
        <f>SUM(G39:K40)</f>
        <v>0</v>
      </c>
      <c r="M39" s="9"/>
      <c r="AA39" s="9"/>
      <c r="BC39" s="23"/>
    </row>
    <row r="40" spans="1:63" ht="6.75" customHeight="1" x14ac:dyDescent="0.2">
      <c r="A40" s="263"/>
      <c r="B40" s="264"/>
      <c r="C40" s="266"/>
      <c r="D40" s="266"/>
      <c r="E40" s="266"/>
      <c r="F40" s="266"/>
      <c r="G40" s="269"/>
      <c r="H40" s="269"/>
      <c r="I40" s="269"/>
      <c r="J40" s="269"/>
      <c r="K40" s="269"/>
      <c r="L40" s="273"/>
      <c r="M40" s="15"/>
      <c r="O40" s="254">
        <f ca="1">IF(B43="bye to the next round",A37,IF(AND(L39&gt;L41,L39&gt;4),A37,IF(AND(L41&gt;L39,L41&gt;4),A43,IF(AND(L39=5,L41=5),MIN(A37,A43)," "))))</f>
        <v>5</v>
      </c>
      <c r="P40" s="255" t="str">
        <f ca="1">IF(O40=" "," ",IFERROR(VLOOKUP(LARGE(INDIRECT(VLOOKUP($A$5,'Start List'!$J$9:$Q$14,5,FALSE)),O40),'Start List'!$B$15:$V$139,3,FALSE),"bye to the next round"))</f>
        <v>Fran Županić</v>
      </c>
      <c r="Q40" s="256"/>
      <c r="R40" s="256"/>
      <c r="S40" s="256"/>
      <c r="T40" s="256"/>
      <c r="U40" s="256"/>
      <c r="V40" s="256"/>
      <c r="W40" s="256"/>
      <c r="X40" s="256"/>
      <c r="Y40" s="257"/>
      <c r="Z40" s="261" t="str">
        <f ca="1">IFERROR(VLOOKUP(LARGE(INDIRECT(VLOOKUP($A$5,'Start List'!$J$9:$Q$14,5,FALSE)),Cadets!O40),'Start List'!$B$15:$V$139,7,FALSE)," ")</f>
        <v xml:space="preserve"> </v>
      </c>
      <c r="AA40" s="8"/>
      <c r="BC40" s="23"/>
      <c r="BE40" s="278" t="str">
        <f>VLOOKUP("Stand",Translation!$A$1:$E$57,Data!$AP$2,FALSE)</f>
        <v>Final Standings</v>
      </c>
      <c r="BF40" s="278"/>
      <c r="BG40" s="278"/>
      <c r="BH40" s="278"/>
      <c r="BI40" s="278"/>
      <c r="BJ40" s="278"/>
      <c r="BK40" s="278"/>
    </row>
    <row r="41" spans="1:63" ht="6.75" customHeight="1" thickBot="1" x14ac:dyDescent="0.25">
      <c r="A41" s="263" t="str">
        <f>VLOOKUP(VLOOKUP($A$5,'Start List'!$J$9:$Q$14,8,FALSE)&amp;A43,Data!$D$2:$H$97,2,FALSE)</f>
        <v/>
      </c>
      <c r="B41" s="264"/>
      <c r="C41" s="266"/>
      <c r="D41" s="266"/>
      <c r="E41" s="266"/>
      <c r="F41" s="266"/>
      <c r="G41" s="268">
        <f>IF(B39&lt;B41,2,IF(AND(B41=B39,B41&gt;0),1,0))</f>
        <v>0</v>
      </c>
      <c r="H41" s="268">
        <f>IF(C39&lt;C41,2,IF(AND(C41=C39,C41&gt;0),1,0))</f>
        <v>0</v>
      </c>
      <c r="I41" s="268">
        <f>IF(D39&lt;D41,2,IF(AND(D41=D39,D41&gt;0),1,0))</f>
        <v>0</v>
      </c>
      <c r="J41" s="268">
        <f>IF(E39&lt;E41,2,IF(AND(E41=E39,E41&gt;0),1,0))</f>
        <v>0</v>
      </c>
      <c r="K41" s="268">
        <f>IF(F39&lt;F41,2,IF(AND(F41=F39,F41&gt;0),1,0))</f>
        <v>0</v>
      </c>
      <c r="L41" s="272">
        <f>SUM(G41:K42)</f>
        <v>0</v>
      </c>
      <c r="M41" s="15"/>
      <c r="N41" s="10"/>
      <c r="O41" s="254"/>
      <c r="P41" s="258"/>
      <c r="Q41" s="259"/>
      <c r="R41" s="259"/>
      <c r="S41" s="259"/>
      <c r="T41" s="259"/>
      <c r="U41" s="259"/>
      <c r="V41" s="259"/>
      <c r="W41" s="259"/>
      <c r="X41" s="259"/>
      <c r="Y41" s="260"/>
      <c r="Z41" s="262"/>
      <c r="AA41" s="13"/>
      <c r="BE41" s="278"/>
      <c r="BF41" s="278"/>
      <c r="BG41" s="278"/>
      <c r="BH41" s="278"/>
      <c r="BI41" s="278"/>
      <c r="BJ41" s="278"/>
      <c r="BK41" s="278"/>
    </row>
    <row r="42" spans="1:63" ht="6.75" customHeight="1" thickBot="1" x14ac:dyDescent="0.25">
      <c r="A42" s="263"/>
      <c r="B42" s="265"/>
      <c r="C42" s="267"/>
      <c r="D42" s="267"/>
      <c r="E42" s="267"/>
      <c r="F42" s="267"/>
      <c r="G42" s="269"/>
      <c r="H42" s="269"/>
      <c r="I42" s="269"/>
      <c r="J42" s="269"/>
      <c r="K42" s="269"/>
      <c r="L42" s="273"/>
      <c r="M42" s="15"/>
      <c r="O42" s="7"/>
      <c r="BE42" s="280">
        <v>1</v>
      </c>
      <c r="BF42" s="282" t="str">
        <f ca="1">BF25</f>
        <v xml:space="preserve"> </v>
      </c>
      <c r="BG42" s="282"/>
      <c r="BH42" s="282"/>
      <c r="BI42" s="282"/>
      <c r="BJ42" s="282"/>
      <c r="BK42" s="284" t="str">
        <f ca="1">BK25</f>
        <v xml:space="preserve"> </v>
      </c>
    </row>
    <row r="43" spans="1:63" ht="6.75" customHeight="1" x14ac:dyDescent="0.2">
      <c r="A43" s="254">
        <v>12</v>
      </c>
      <c r="B43" s="255" t="str">
        <f ca="1">IF(A43=" "," ",IFERROR(VLOOKUP(LARGE(INDIRECT(VLOOKUP($A$5,'Start List'!$J$9:$Q$14,5,FALSE)),A43),'Start List'!$B$15:$V$139,3,FALSE),"bye to the next round"))</f>
        <v>bye to the next round</v>
      </c>
      <c r="C43" s="256"/>
      <c r="D43" s="256"/>
      <c r="E43" s="256"/>
      <c r="F43" s="256"/>
      <c r="G43" s="256"/>
      <c r="H43" s="256"/>
      <c r="I43" s="256"/>
      <c r="J43" s="256"/>
      <c r="K43" s="257"/>
      <c r="L43" s="261" t="str">
        <f ca="1">IFERROR(VLOOKUP(LARGE(INDIRECT(VLOOKUP($A$5,'Start List'!$J$9:$Q$14,5,FALSE)),Cadets!A43),'Start List'!$B$15:$V$139,7,FALSE)," ")</f>
        <v xml:space="preserve"> </v>
      </c>
      <c r="M43" s="8"/>
      <c r="O43" s="7"/>
      <c r="BE43" s="281"/>
      <c r="BF43" s="283"/>
      <c r="BG43" s="283"/>
      <c r="BH43" s="283"/>
      <c r="BI43" s="283"/>
      <c r="BJ43" s="283"/>
      <c r="BK43" s="285"/>
    </row>
    <row r="44" spans="1:63" ht="6.75" customHeight="1" thickBot="1" x14ac:dyDescent="0.25">
      <c r="A44" s="254"/>
      <c r="B44" s="258"/>
      <c r="C44" s="259"/>
      <c r="D44" s="259"/>
      <c r="E44" s="259"/>
      <c r="F44" s="259"/>
      <c r="G44" s="259"/>
      <c r="H44" s="259"/>
      <c r="I44" s="259"/>
      <c r="J44" s="259"/>
      <c r="K44" s="260"/>
      <c r="L44" s="262"/>
      <c r="M44" s="13"/>
      <c r="BE44" s="286">
        <v>2</v>
      </c>
      <c r="BF44" s="283" t="str">
        <f>IF(BE25=" "," ",IF(BE25=AQ20,AR30,AR20))</f>
        <v xml:space="preserve"> </v>
      </c>
      <c r="BG44" s="283"/>
      <c r="BH44" s="283"/>
      <c r="BI44" s="283"/>
      <c r="BJ44" s="283"/>
      <c r="BK44" s="285" t="str">
        <f>IF(BE25=" "," ",IF(BE25=AQ20,BB30,BB20))</f>
        <v xml:space="preserve"> </v>
      </c>
    </row>
    <row r="45" spans="1:63" ht="6.75" customHeight="1" x14ac:dyDescent="0.2">
      <c r="A45" s="30"/>
      <c r="BE45" s="286"/>
      <c r="BF45" s="283"/>
      <c r="BG45" s="283"/>
      <c r="BH45" s="283"/>
      <c r="BI45" s="283"/>
      <c r="BJ45" s="283"/>
      <c r="BK45" s="285"/>
    </row>
    <row r="46" spans="1:63" ht="6.75" customHeight="1" thickBo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BE46" s="287">
        <v>3</v>
      </c>
      <c r="BF46" s="283" t="str">
        <f ca="1">BF65</f>
        <v xml:space="preserve"> </v>
      </c>
      <c r="BG46" s="283"/>
      <c r="BH46" s="283"/>
      <c r="BI46" s="283"/>
      <c r="BJ46" s="283"/>
      <c r="BK46" s="285" t="str">
        <f ca="1">BK65</f>
        <v xml:space="preserve"> </v>
      </c>
    </row>
    <row r="47" spans="1:63" ht="6.75" customHeight="1" x14ac:dyDescent="0.2">
      <c r="A47" s="254">
        <v>2</v>
      </c>
      <c r="B47" s="255" t="str">
        <f ca="1">IF(A47=" "," ",IFERROR(VLOOKUP(LARGE(INDIRECT(VLOOKUP($A$5,'Start List'!$J$9:$Q$14,5,FALSE)),A47),'Start List'!$B$15:$V$139,3,FALSE),"bye to the next round"))</f>
        <v>Karla Bartolović</v>
      </c>
      <c r="C47" s="256"/>
      <c r="D47" s="256"/>
      <c r="E47" s="256"/>
      <c r="F47" s="256"/>
      <c r="G47" s="256"/>
      <c r="H47" s="256"/>
      <c r="I47" s="256"/>
      <c r="J47" s="256"/>
      <c r="K47" s="257"/>
      <c r="L47" s="261" t="str">
        <f ca="1">IFERROR(VLOOKUP(LARGE(INDIRECT(VLOOKUP($A$5,'Start List'!$J$9:$Q$14,5,FALSE)),Cadets!A47),'Start List'!$B$15:$V$139,7,FALSE)," ")</f>
        <v xml:space="preserve"> </v>
      </c>
      <c r="M47" s="2"/>
      <c r="N47" s="5"/>
      <c r="O47" s="11"/>
      <c r="P47" s="1"/>
      <c r="Q47" s="1"/>
      <c r="R47" s="1"/>
      <c r="S47" s="1"/>
      <c r="T47" s="1"/>
      <c r="U47" s="1"/>
      <c r="V47" s="1"/>
      <c r="W47" s="1"/>
      <c r="X47" s="1"/>
      <c r="Y47" s="1"/>
      <c r="Z47" s="1"/>
      <c r="AA47" s="1"/>
      <c r="AB47" s="1"/>
      <c r="BE47" s="287"/>
      <c r="BF47" s="283"/>
      <c r="BG47" s="283"/>
      <c r="BH47" s="283"/>
      <c r="BI47" s="283"/>
      <c r="BJ47" s="283"/>
      <c r="BK47" s="285"/>
    </row>
    <row r="48" spans="1:63" ht="6.75" customHeight="1" thickBot="1" x14ac:dyDescent="0.25">
      <c r="A48" s="270"/>
      <c r="B48" s="258"/>
      <c r="C48" s="259"/>
      <c r="D48" s="259"/>
      <c r="E48" s="259"/>
      <c r="F48" s="259"/>
      <c r="G48" s="259"/>
      <c r="H48" s="259"/>
      <c r="I48" s="259"/>
      <c r="J48" s="259"/>
      <c r="K48" s="260"/>
      <c r="L48" s="262"/>
      <c r="M48" s="14"/>
      <c r="BE48" s="288">
        <v>4</v>
      </c>
      <c r="BF48" s="283" t="str">
        <f>IF(BE65=" "," ",IF(BE65=AQ60,AR70,AR60))</f>
        <v xml:space="preserve"> </v>
      </c>
      <c r="BG48" s="283"/>
      <c r="BH48" s="283"/>
      <c r="BI48" s="283"/>
      <c r="BJ48" s="283"/>
      <c r="BK48" s="285" t="str">
        <f>IF(BE65=" "," ",IF(BE65=AQ60,BB70,BB60))</f>
        <v xml:space="preserve"> </v>
      </c>
    </row>
    <row r="49" spans="1:68" ht="6.75" customHeight="1" thickBot="1" x14ac:dyDescent="0.25">
      <c r="A49" s="263" t="str">
        <f>VLOOKUP(VLOOKUP($A$5,'Start List'!$J$9:$Q$14,8,FALSE)&amp;A47,Data!$D$2:$H$97,2,FALSE)</f>
        <v/>
      </c>
      <c r="B49" s="274"/>
      <c r="C49" s="271"/>
      <c r="D49" s="271"/>
      <c r="E49" s="271"/>
      <c r="F49" s="271"/>
      <c r="G49" s="268">
        <f>IF(B49&gt;B51,2,IF(AND(B51=B49,B49&gt;0),1,0))</f>
        <v>0</v>
      </c>
      <c r="H49" s="268">
        <f>IF(C49&gt;C51,2,IF(AND(C51=C49,C49&gt;0),1,0))</f>
        <v>0</v>
      </c>
      <c r="I49" s="268">
        <f>IF(D49&gt;D51,2,IF(AND(D51=D49,D49&gt;0),1,0))</f>
        <v>0</v>
      </c>
      <c r="J49" s="268">
        <f>IF(E49&gt;E51,2,IF(AND(E51=E49,E49&gt;0),1,0))</f>
        <v>0</v>
      </c>
      <c r="K49" s="268">
        <f>IF(F49&gt;F51,2,IF(AND(F51=F49,F49&gt;0),1,0))</f>
        <v>0</v>
      </c>
      <c r="L49" s="272">
        <f>SUM(G49:K50)</f>
        <v>0</v>
      </c>
      <c r="M49" s="9"/>
      <c r="BE49" s="289"/>
      <c r="BF49" s="290"/>
      <c r="BG49" s="290"/>
      <c r="BH49" s="290"/>
      <c r="BI49" s="290"/>
      <c r="BJ49" s="290"/>
      <c r="BK49" s="291"/>
    </row>
    <row r="50" spans="1:68" ht="6.75" customHeight="1" x14ac:dyDescent="0.2">
      <c r="A50" s="263"/>
      <c r="B50" s="264"/>
      <c r="C50" s="266"/>
      <c r="D50" s="266"/>
      <c r="E50" s="266"/>
      <c r="F50" s="266"/>
      <c r="G50" s="269"/>
      <c r="H50" s="269"/>
      <c r="I50" s="269"/>
      <c r="J50" s="269"/>
      <c r="K50" s="269"/>
      <c r="L50" s="273"/>
      <c r="M50" s="15"/>
      <c r="O50" s="254">
        <f ca="1">IF(B53="bye to the next round",A47,IF(AND(L49&gt;L51,L49&gt;4),A47,IF(AND(L51&gt;L49,L51&gt;4),A53,IF(AND(L49=5,L51=5),MIN(A47,A53)," "))))</f>
        <v>2</v>
      </c>
      <c r="P50" s="255" t="str">
        <f ca="1">IF(O50=" "," ",IFERROR(VLOOKUP(LARGE(INDIRECT(VLOOKUP($A$5,'Start List'!$J$9:$Q$14,5,FALSE)),O50),'Start List'!$B$15:$V$139,3,FALSE),"bye to the next round"))</f>
        <v>Karla Bartolović</v>
      </c>
      <c r="Q50" s="256"/>
      <c r="R50" s="256"/>
      <c r="S50" s="256"/>
      <c r="T50" s="256"/>
      <c r="U50" s="256"/>
      <c r="V50" s="256"/>
      <c r="W50" s="256"/>
      <c r="X50" s="256"/>
      <c r="Y50" s="257"/>
      <c r="Z50" s="261" t="str">
        <f ca="1">IFERROR(VLOOKUP(LARGE(INDIRECT(VLOOKUP($A$5,'Start List'!$J$9:$Q$14,5,FALSE)),Cadets!O50),'Start List'!$B$15:$V$139,7,FALSE)," ")</f>
        <v xml:space="preserve"> </v>
      </c>
      <c r="AA50" s="16"/>
      <c r="BE50" s="196">
        <f>Data!AW4</f>
        <v>44062</v>
      </c>
      <c r="BF50" s="197"/>
      <c r="BG50" s="197"/>
      <c r="BH50" s="197"/>
      <c r="BI50" s="197"/>
      <c r="BJ50" s="197"/>
      <c r="BK50" s="197"/>
      <c r="BM50" s="7">
        <v>1</v>
      </c>
      <c r="BN50" s="7" t="str">
        <f>L9&amp;":"&amp;L11</f>
        <v>0:0</v>
      </c>
      <c r="BO50" s="7" t="str">
        <f>Z14&amp;":"&amp;Z16</f>
        <v>0:0</v>
      </c>
      <c r="BP50" s="7" t="str">
        <f>AN24&amp;":"&amp;AN26</f>
        <v>0:0</v>
      </c>
    </row>
    <row r="51" spans="1:68" ht="6.75" customHeight="1" thickBot="1" x14ac:dyDescent="0.25">
      <c r="A51" s="263" t="str">
        <f>VLOOKUP(VLOOKUP($A$5,'Start List'!$J$9:$Q$14,8,FALSE)&amp;A53,Data!$D$2:$H$97,2,FALSE)</f>
        <v/>
      </c>
      <c r="B51" s="264"/>
      <c r="C51" s="266"/>
      <c r="D51" s="266"/>
      <c r="E51" s="266"/>
      <c r="F51" s="266"/>
      <c r="G51" s="268">
        <f>IF(B49&lt;B51,2,IF(AND(B51=B49,B51&gt;0),1,0))</f>
        <v>0</v>
      </c>
      <c r="H51" s="268">
        <f>IF(C49&lt;C51,2,IF(AND(C51=C49,C51&gt;0),1,0))</f>
        <v>0</v>
      </c>
      <c r="I51" s="268">
        <f>IF(D49&lt;D51,2,IF(AND(D51=D49,D51&gt;0),1,0))</f>
        <v>0</v>
      </c>
      <c r="J51" s="268">
        <f>IF(E49&lt;E51,2,IF(AND(E51=E49,E51&gt;0),1,0))</f>
        <v>0</v>
      </c>
      <c r="K51" s="268">
        <f>IF(F49&lt;F51,2,IF(AND(F51=F49,F51&gt;0),1,0))</f>
        <v>0</v>
      </c>
      <c r="L51" s="272">
        <f>SUM(G51:K52)</f>
        <v>0</v>
      </c>
      <c r="M51" s="15"/>
      <c r="N51" s="10"/>
      <c r="O51" s="254"/>
      <c r="P51" s="258"/>
      <c r="Q51" s="259"/>
      <c r="R51" s="259"/>
      <c r="S51" s="259"/>
      <c r="T51" s="259"/>
      <c r="U51" s="259"/>
      <c r="V51" s="259"/>
      <c r="W51" s="259"/>
      <c r="X51" s="259"/>
      <c r="Y51" s="260"/>
      <c r="Z51" s="262"/>
      <c r="AA51" s="12"/>
      <c r="BE51" s="199"/>
      <c r="BF51" s="199"/>
      <c r="BG51" s="199"/>
      <c r="BH51" s="199"/>
      <c r="BI51" s="199"/>
      <c r="BJ51" s="199"/>
      <c r="BK51" s="199"/>
      <c r="BM51" s="7">
        <v>2</v>
      </c>
      <c r="BN51" s="7" t="str">
        <f>L49&amp;":"&amp;L51</f>
        <v>0:0</v>
      </c>
      <c r="BO51" s="7" t="str">
        <f>Z54&amp;":"&amp;Z56</f>
        <v>0:0</v>
      </c>
      <c r="BP51" s="7" t="str">
        <f>AN64&amp;":"&amp;AN66</f>
        <v>0:0</v>
      </c>
    </row>
    <row r="52" spans="1:68" ht="6.75" customHeight="1" thickBot="1" x14ac:dyDescent="0.25">
      <c r="A52" s="263"/>
      <c r="B52" s="265"/>
      <c r="C52" s="267"/>
      <c r="D52" s="267"/>
      <c r="E52" s="267"/>
      <c r="F52" s="267"/>
      <c r="G52" s="269"/>
      <c r="H52" s="269"/>
      <c r="I52" s="269"/>
      <c r="J52" s="269"/>
      <c r="K52" s="269"/>
      <c r="L52" s="273"/>
      <c r="M52" s="15"/>
      <c r="O52" s="7"/>
      <c r="AA52" s="9"/>
      <c r="BC52" s="23"/>
      <c r="BE52" s="198">
        <f ca="1">Data!AW5</f>
        <v>44059.610003935188</v>
      </c>
      <c r="BF52" s="199"/>
      <c r="BG52" s="199"/>
      <c r="BH52" s="199"/>
      <c r="BI52" s="199"/>
      <c r="BJ52" s="199"/>
      <c r="BK52" s="199"/>
      <c r="BM52" s="7">
        <v>3</v>
      </c>
      <c r="BN52" s="7" t="str">
        <f>L69&amp;":"&amp;L71</f>
        <v>0:0</v>
      </c>
      <c r="BO52" s="7" t="str">
        <f>Z74&amp;":"&amp;Z76</f>
        <v>0:0</v>
      </c>
      <c r="BP52" s="7" t="str">
        <f>AN66&amp;":"&amp;AN64</f>
        <v>0:0</v>
      </c>
    </row>
    <row r="53" spans="1:68" ht="6.75" customHeight="1" x14ac:dyDescent="0.2">
      <c r="A53" s="254">
        <v>15</v>
      </c>
      <c r="B53" s="255" t="str">
        <f ca="1">IF(A53=" "," ",IFERROR(VLOOKUP(LARGE(INDIRECT(VLOOKUP($A$5,'Start List'!$J$9:$Q$14,5,FALSE)),A53),'Start List'!$B$15:$V$139,3,FALSE),"bye to the next round"))</f>
        <v>bye to the next round</v>
      </c>
      <c r="C53" s="256"/>
      <c r="D53" s="256"/>
      <c r="E53" s="256"/>
      <c r="F53" s="256"/>
      <c r="G53" s="256"/>
      <c r="H53" s="256"/>
      <c r="I53" s="256"/>
      <c r="J53" s="256"/>
      <c r="K53" s="257"/>
      <c r="L53" s="261" t="str">
        <f ca="1">IFERROR(VLOOKUP(LARGE(INDIRECT(VLOOKUP($A$5,'Start List'!$J$9:$Q$14,5,FALSE)),Cadets!A53),'Start List'!$B$15:$V$139,7,FALSE)," ")</f>
        <v xml:space="preserve"> </v>
      </c>
      <c r="M53" s="8"/>
      <c r="O53" s="7"/>
      <c r="AA53" s="9"/>
      <c r="BC53" s="23"/>
      <c r="BM53" s="7">
        <v>4</v>
      </c>
      <c r="BN53" s="7" t="str">
        <f>L29&amp;":"&amp;L31</f>
        <v>0:0</v>
      </c>
      <c r="BO53" s="7" t="str">
        <f>Z34&amp;":"&amp;Z36</f>
        <v>0:0</v>
      </c>
      <c r="BP53" s="7" t="str">
        <f>AN26&amp;":"&amp;AN24</f>
        <v>0:0</v>
      </c>
    </row>
    <row r="54" spans="1:68" ht="6.75" customHeight="1" thickBot="1" x14ac:dyDescent="0.25">
      <c r="A54" s="254"/>
      <c r="B54" s="258"/>
      <c r="C54" s="259"/>
      <c r="D54" s="259"/>
      <c r="E54" s="259"/>
      <c r="F54" s="259"/>
      <c r="G54" s="259"/>
      <c r="H54" s="259"/>
      <c r="I54" s="259"/>
      <c r="J54" s="259"/>
      <c r="K54" s="260"/>
      <c r="L54" s="262"/>
      <c r="M54" s="13"/>
      <c r="O54" s="263" t="str">
        <f>VLOOKUP(VLOOKUP($A$5,'Start List'!$J$9:$Q$14,8,FALSE)&amp;A47,Data!$D$2:$H$97,3,FALSE)</f>
        <v/>
      </c>
      <c r="P54" s="266"/>
      <c r="Q54" s="266"/>
      <c r="R54" s="266"/>
      <c r="S54" s="266"/>
      <c r="T54" s="266"/>
      <c r="U54" s="269">
        <f>IF(P54&gt;P56,2,IF(AND(P56=P54,P54&gt;0),1,0))</f>
        <v>0</v>
      </c>
      <c r="V54" s="269">
        <f>IF(Q54&gt;Q56,2,IF(AND(Q56=Q54,Q54&gt;0),1,0))</f>
        <v>0</v>
      </c>
      <c r="W54" s="269">
        <f>IF(R54&gt;R56,2,IF(AND(R56=R54,R54&gt;0),1,0))</f>
        <v>0</v>
      </c>
      <c r="X54" s="269">
        <f>IF(S54&gt;S56,2,IF(AND(S56=S54,S54&gt;0),1,0))</f>
        <v>0</v>
      </c>
      <c r="Y54" s="269">
        <f>IF(T54&gt;T56,2,IF(AND(T56=T54,T54&gt;0),1,0))</f>
        <v>0</v>
      </c>
      <c r="Z54" s="277">
        <f>SUM(U54:Y55)</f>
        <v>0</v>
      </c>
      <c r="AA54" s="9"/>
      <c r="BC54" s="23"/>
      <c r="BM54" s="7">
        <v>5</v>
      </c>
      <c r="BN54" s="7" t="str">
        <f>L39&amp;":"&amp;L41</f>
        <v>0:0</v>
      </c>
      <c r="BO54" s="7" t="str">
        <f>Z36&amp;":"&amp;Z34</f>
        <v>0:0</v>
      </c>
      <c r="BP54" s="7" t="str">
        <f>BP53</f>
        <v>0:0</v>
      </c>
    </row>
    <row r="55" spans="1:68" ht="6.75" customHeight="1" x14ac:dyDescent="0.2">
      <c r="A55" s="30"/>
      <c r="O55" s="263"/>
      <c r="P55" s="266"/>
      <c r="Q55" s="266"/>
      <c r="R55" s="266"/>
      <c r="S55" s="266"/>
      <c r="T55" s="266"/>
      <c r="U55" s="269"/>
      <c r="V55" s="269"/>
      <c r="W55" s="269"/>
      <c r="X55" s="269"/>
      <c r="Y55" s="269"/>
      <c r="Z55" s="277"/>
      <c r="AA55" s="9"/>
      <c r="AC55" s="254" t="str">
        <f ca="1">IF(P60="bye to the next round",O50,IF(AND(Z54&gt;Z56,Z54&gt;4),O50,IF(AND(Z56&gt;Z54,Z56&gt;4),O60,IF(AND(Z54=5,Z56=5),MIN(O50,O60)," "))))</f>
        <v xml:space="preserve"> </v>
      </c>
      <c r="AD55" s="292" t="str">
        <f ca="1">IF(AC55=" "," ",IFERROR(VLOOKUP(LARGE(INDIRECT(VLOOKUP($A$5,'Start List'!$J$9:$Q$14,5,FALSE)),AC55),'Start List'!$B$15:$V$139,3,FALSE),"bye to the next round"))</f>
        <v xml:space="preserve"> </v>
      </c>
      <c r="AE55" s="293"/>
      <c r="AF55" s="293"/>
      <c r="AG55" s="293"/>
      <c r="AH55" s="293"/>
      <c r="AI55" s="293"/>
      <c r="AJ55" s="293"/>
      <c r="AK55" s="293"/>
      <c r="AL55" s="293"/>
      <c r="AM55" s="294"/>
      <c r="AN55" s="261" t="str">
        <f ca="1">IFERROR(VLOOKUP(LARGE(INDIRECT(VLOOKUP($A$5,'Start List'!$J$9:$Q$14,5,FALSE)),Cadets!AC55),'Start List'!$B$15:$V$139,7,FALSE)," ")</f>
        <v xml:space="preserve"> </v>
      </c>
      <c r="BC55" s="23"/>
      <c r="BM55" s="7">
        <v>6</v>
      </c>
      <c r="BN55" s="7" t="str">
        <f>L79&amp;":"&amp;L81</f>
        <v>0:0</v>
      </c>
      <c r="BO55" s="7" t="str">
        <f>Z76&amp;":"&amp;Z74</f>
        <v>0:0</v>
      </c>
      <c r="BP55" s="7" t="str">
        <f>BP52</f>
        <v>0:0</v>
      </c>
    </row>
    <row r="56" spans="1:68" ht="6.75" customHeight="1" thickBot="1" x14ac:dyDescent="0.25">
      <c r="A56" s="29"/>
      <c r="B56" s="29"/>
      <c r="C56" s="29"/>
      <c r="D56" s="29"/>
      <c r="E56" s="29"/>
      <c r="F56" s="29"/>
      <c r="G56" s="29"/>
      <c r="H56" s="29"/>
      <c r="I56" s="29"/>
      <c r="J56" s="29"/>
      <c r="K56" s="29"/>
      <c r="L56" s="29"/>
      <c r="M56" s="29"/>
      <c r="N56" s="29"/>
      <c r="O56" s="263" t="str">
        <f>VLOOKUP(VLOOKUP($A$5,'Start List'!$J$9:$Q$14,8,FALSE)&amp;A63,Data!$D$2:$H$97,3,FALSE)</f>
        <v/>
      </c>
      <c r="P56" s="266"/>
      <c r="Q56" s="266"/>
      <c r="R56" s="266"/>
      <c r="S56" s="266"/>
      <c r="T56" s="266"/>
      <c r="U56" s="269">
        <f>IF(P54&lt;P56,2,IF(AND(P56=P54,P56&gt;0),1,0))</f>
        <v>0</v>
      </c>
      <c r="V56" s="269">
        <f>IF(Q54&lt;Q56,2,IF(AND(Q56=Q54,Q56&gt;0),1,0))</f>
        <v>0</v>
      </c>
      <c r="W56" s="269">
        <f>IF(R54&lt;R56,2,IF(AND(R56=R54,R56&gt;0),1,0))</f>
        <v>0</v>
      </c>
      <c r="X56" s="269">
        <f>IF(S54&lt;S56,2,IF(AND(S56=S54,S56&gt;0),1,0))</f>
        <v>0</v>
      </c>
      <c r="Y56" s="269">
        <f>IF(T54&lt;T56,2,IF(AND(T56=T54,T56&gt;0),1,0))</f>
        <v>0</v>
      </c>
      <c r="Z56" s="277">
        <f>SUM(U56:Y57)</f>
        <v>0</v>
      </c>
      <c r="AA56" s="17"/>
      <c r="AB56" s="19"/>
      <c r="AC56" s="254"/>
      <c r="AD56" s="295"/>
      <c r="AE56" s="296"/>
      <c r="AF56" s="296"/>
      <c r="AG56" s="296"/>
      <c r="AH56" s="296"/>
      <c r="AI56" s="296"/>
      <c r="AJ56" s="296"/>
      <c r="AK56" s="296"/>
      <c r="AL56" s="296"/>
      <c r="AM56" s="297"/>
      <c r="AN56" s="262"/>
      <c r="AO56" s="14"/>
      <c r="BC56" s="23"/>
      <c r="BM56" s="7">
        <v>7</v>
      </c>
      <c r="BN56" s="7" t="str">
        <f>L59&amp;":"&amp;L61</f>
        <v>0:0</v>
      </c>
      <c r="BO56" s="7" t="str">
        <f>Z56&amp;":"&amp;Z54</f>
        <v>0:0</v>
      </c>
      <c r="BP56" s="7" t="str">
        <f>BP51</f>
        <v>0:0</v>
      </c>
    </row>
    <row r="57" spans="1:68" ht="6.75" customHeight="1" x14ac:dyDescent="0.2">
      <c r="A57" s="254">
        <v>7</v>
      </c>
      <c r="B57" s="255" t="str">
        <f ca="1">IF(A57=" "," ",IFERROR(VLOOKUP(LARGE(INDIRECT(VLOOKUP($A$5,'Start List'!$J$9:$Q$14,5,FALSE)),A57),'Start List'!$B$15:$V$139,3,FALSE),"bye to the next round"))</f>
        <v>Kratochvíla Pavel</v>
      </c>
      <c r="C57" s="256"/>
      <c r="D57" s="256"/>
      <c r="E57" s="256"/>
      <c r="F57" s="256"/>
      <c r="G57" s="256"/>
      <c r="H57" s="256"/>
      <c r="I57" s="256"/>
      <c r="J57" s="256"/>
      <c r="K57" s="257"/>
      <c r="L57" s="261" t="str">
        <f ca="1">IFERROR(VLOOKUP(LARGE(INDIRECT(VLOOKUP($A$5,'Start List'!$J$9:$Q$14,5,FALSE)),Cadets!A57),'Start List'!$B$15:$V$139,7,FALSE)," ")</f>
        <v xml:space="preserve"> </v>
      </c>
      <c r="M57" s="2"/>
      <c r="N57" s="5"/>
      <c r="O57" s="263"/>
      <c r="P57" s="266"/>
      <c r="Q57" s="266"/>
      <c r="R57" s="266"/>
      <c r="S57" s="266"/>
      <c r="T57" s="266"/>
      <c r="U57" s="269"/>
      <c r="V57" s="269"/>
      <c r="W57" s="269"/>
      <c r="X57" s="269"/>
      <c r="Y57" s="269"/>
      <c r="Z57" s="277"/>
      <c r="AA57" s="18"/>
      <c r="AB57" s="1"/>
      <c r="AO57" s="9"/>
      <c r="AQ57" s="278" t="str">
        <f>VLOOKUP("BMM",Translation!$A$1:$E$57,Data!$AP$2,FALSE)</f>
        <v>Bronze Medal Match</v>
      </c>
      <c r="AR57" s="278"/>
      <c r="AS57" s="278"/>
      <c r="AT57" s="278"/>
      <c r="AU57" s="278"/>
      <c r="AV57" s="278"/>
      <c r="AW57" s="278"/>
      <c r="AX57" s="278"/>
      <c r="AY57" s="278"/>
      <c r="AZ57" s="278"/>
      <c r="BA57" s="278"/>
      <c r="BB57" s="278"/>
      <c r="BC57" s="23"/>
      <c r="BM57" s="7">
        <v>8</v>
      </c>
      <c r="BN57" s="7" t="str">
        <f>L19&amp;":"&amp;L21</f>
        <v>0:0</v>
      </c>
      <c r="BO57" s="7" t="str">
        <f>Z16&amp;":"&amp;Z14</f>
        <v>0:0</v>
      </c>
      <c r="BP57" s="7" t="str">
        <f>BP50</f>
        <v>0:0</v>
      </c>
    </row>
    <row r="58" spans="1:68" ht="6.75" customHeight="1" thickBot="1" x14ac:dyDescent="0.25">
      <c r="A58" s="270"/>
      <c r="B58" s="258"/>
      <c r="C58" s="259"/>
      <c r="D58" s="259"/>
      <c r="E58" s="259"/>
      <c r="F58" s="259"/>
      <c r="G58" s="259"/>
      <c r="H58" s="259"/>
      <c r="I58" s="259"/>
      <c r="J58" s="259"/>
      <c r="K58" s="260"/>
      <c r="L58" s="262"/>
      <c r="M58" s="14"/>
      <c r="AA58" s="9"/>
      <c r="AO58" s="9"/>
      <c r="AQ58" s="278"/>
      <c r="AR58" s="278"/>
      <c r="AS58" s="278"/>
      <c r="AT58" s="278"/>
      <c r="AU58" s="278"/>
      <c r="AV58" s="278"/>
      <c r="AW58" s="278"/>
      <c r="AX58" s="278"/>
      <c r="AY58" s="278"/>
      <c r="AZ58" s="278"/>
      <c r="BA58" s="278"/>
      <c r="BB58" s="278"/>
      <c r="BC58" s="23"/>
      <c r="BM58" s="7">
        <v>9</v>
      </c>
      <c r="BN58" s="7" t="str">
        <f>L21&amp;":"&amp;L19</f>
        <v>0:0</v>
      </c>
      <c r="BO58" s="7" t="str">
        <f>BO57</f>
        <v>0:0</v>
      </c>
      <c r="BP58" s="7" t="str">
        <f>BP50</f>
        <v>0:0</v>
      </c>
    </row>
    <row r="59" spans="1:68" ht="6.75" customHeight="1" thickBot="1" x14ac:dyDescent="0.25">
      <c r="A59" s="263" t="str">
        <f>VLOOKUP(VLOOKUP($A$5,'Start List'!$J$9:$Q$14,8,FALSE)&amp;A57,Data!$D$2:$H$97,2,FALSE)</f>
        <v/>
      </c>
      <c r="B59" s="274"/>
      <c r="C59" s="271"/>
      <c r="D59" s="271"/>
      <c r="E59" s="271"/>
      <c r="F59" s="271"/>
      <c r="G59" s="268">
        <f>IF(B59&gt;B61,2,IF(AND(B61=B59,B59&gt;0),1,0))</f>
        <v>0</v>
      </c>
      <c r="H59" s="268">
        <f>IF(C59&gt;C61,2,IF(AND(C61=C59,C59&gt;0),1,0))</f>
        <v>0</v>
      </c>
      <c r="I59" s="268">
        <f>IF(D59&gt;D61,2,IF(AND(D61=D59,D59&gt;0),1,0))</f>
        <v>0</v>
      </c>
      <c r="J59" s="268">
        <f>IF(E59&gt;E61,2,IF(AND(E61=E59,E59&gt;0),1,0))</f>
        <v>0</v>
      </c>
      <c r="K59" s="268">
        <f>IF(F59&gt;F61,2,IF(AND(F61=F59,F59&gt;0),1,0))</f>
        <v>0</v>
      </c>
      <c r="L59" s="272">
        <f>SUM(G59:K60)</f>
        <v>0</v>
      </c>
      <c r="M59" s="9"/>
      <c r="AA59" s="9"/>
      <c r="AO59" s="9"/>
      <c r="BM59" s="7">
        <v>10</v>
      </c>
      <c r="BN59" s="7" t="str">
        <f>L61&amp;":"&amp;L59</f>
        <v>0:0</v>
      </c>
      <c r="BO59" s="7" t="str">
        <f>BO56</f>
        <v>0:0</v>
      </c>
      <c r="BP59" s="7" t="str">
        <f t="shared" ref="BP59:BP65" si="0">BP51</f>
        <v>0:0</v>
      </c>
    </row>
    <row r="60" spans="1:68" ht="6.75" customHeight="1" x14ac:dyDescent="0.2">
      <c r="A60" s="263"/>
      <c r="B60" s="264"/>
      <c r="C60" s="266"/>
      <c r="D60" s="266"/>
      <c r="E60" s="266"/>
      <c r="F60" s="266"/>
      <c r="G60" s="269"/>
      <c r="H60" s="269"/>
      <c r="I60" s="269"/>
      <c r="J60" s="269"/>
      <c r="K60" s="269"/>
      <c r="L60" s="273"/>
      <c r="M60" s="15"/>
      <c r="O60" s="254" t="str">
        <f ca="1">IF(B63="bye to the next round",A57,IF(AND(L59&gt;L61,L59&gt;4),A57,IF(AND(L61&gt;L59,L61&gt;4),A63,IF(AND(L59=5,L61=5),MIN(A57,A63)," "))))</f>
        <v xml:space="preserve"> </v>
      </c>
      <c r="P60" s="255" t="str">
        <f ca="1">IF(O60=" "," ",IFERROR(VLOOKUP(LARGE(INDIRECT(VLOOKUP($A$5,'Start List'!$J$9:$Q$14,5,FALSE)),O60),'Start List'!$B$15:$V$139,3,FALSE),"bye to the next round"))</f>
        <v xml:space="preserve"> </v>
      </c>
      <c r="Q60" s="256"/>
      <c r="R60" s="256"/>
      <c r="S60" s="256"/>
      <c r="T60" s="256"/>
      <c r="U60" s="256"/>
      <c r="V60" s="256"/>
      <c r="W60" s="256"/>
      <c r="X60" s="256"/>
      <c r="Y60" s="257"/>
      <c r="Z60" s="261" t="str">
        <f ca="1">IFERROR(VLOOKUP(LARGE(INDIRECT(VLOOKUP($A$5,'Start List'!$J$9:$Q$14,5,FALSE)),Cadets!O60),'Start List'!$B$15:$V$139,7,FALSE)," ")</f>
        <v xml:space="preserve"> </v>
      </c>
      <c r="AA60" s="8"/>
      <c r="AO60" s="9"/>
      <c r="AQ60" s="254" t="str">
        <f>IF(AND(AN24&gt;AN26,AN24&gt;4),AC35,IF(AND(AN26&gt;AN24,AN26&gt;4),AC15,IF(AND(AN24=5,AN26=5),MAX(AC15,AC35)," ")))</f>
        <v xml:space="preserve"> </v>
      </c>
      <c r="AR60" s="255" t="str">
        <f ca="1">IF(AQ60=" "," ",IFERROR(VLOOKUP(LARGE(INDIRECT(VLOOKUP($A$5,'Start List'!$J$9:$Q$14,5,FALSE)),AQ60),'Start List'!$B$15:$V$139,3,FALSE),"bye to the next round"))</f>
        <v xml:space="preserve"> </v>
      </c>
      <c r="AS60" s="256"/>
      <c r="AT60" s="256"/>
      <c r="AU60" s="256"/>
      <c r="AV60" s="256"/>
      <c r="AW60" s="256"/>
      <c r="AX60" s="256"/>
      <c r="AY60" s="256"/>
      <c r="AZ60" s="256"/>
      <c r="BA60" s="257"/>
      <c r="BB60" s="261" t="str">
        <f ca="1">IFERROR(VLOOKUP(LARGE(INDIRECT(VLOOKUP($A$5,'Start List'!$J$9:$Q$14,5,FALSE)),Cadets!AQ60),'Start List'!$B$15:$V$139,7,FALSE)," ")</f>
        <v xml:space="preserve"> </v>
      </c>
      <c r="BC60" s="16"/>
      <c r="BM60" s="7">
        <v>11</v>
      </c>
      <c r="BN60" s="7" t="str">
        <f>L81&amp;":"&amp;L79</f>
        <v>0:0</v>
      </c>
      <c r="BO60" s="7" t="str">
        <f>BO55</f>
        <v>0:0</v>
      </c>
      <c r="BP60" s="7" t="str">
        <f t="shared" si="0"/>
        <v>0:0</v>
      </c>
    </row>
    <row r="61" spans="1:68" ht="6.75" customHeight="1" thickBot="1" x14ac:dyDescent="0.25">
      <c r="A61" s="263" t="str">
        <f>VLOOKUP(VLOOKUP($A$5,'Start List'!$J$9:$Q$14,8,FALSE)&amp;A63,Data!$D$2:$H$97,2,FALSE)</f>
        <v/>
      </c>
      <c r="B61" s="264"/>
      <c r="C61" s="266"/>
      <c r="D61" s="266"/>
      <c r="E61" s="266"/>
      <c r="F61" s="266"/>
      <c r="G61" s="268">
        <f>IF(B59&lt;B61,2,IF(AND(B61=B59,B61&gt;0),1,0))</f>
        <v>0</v>
      </c>
      <c r="H61" s="268">
        <f>IF(C59&lt;C61,2,IF(AND(C61=C59,C61&gt;0),1,0))</f>
        <v>0</v>
      </c>
      <c r="I61" s="268">
        <f>IF(D59&lt;D61,2,IF(AND(D61=D59,D61&gt;0),1,0))</f>
        <v>0</v>
      </c>
      <c r="J61" s="268">
        <f>IF(E59&lt;E61,2,IF(AND(E61=E59,E61&gt;0),1,0))</f>
        <v>0</v>
      </c>
      <c r="K61" s="268">
        <f>IF(F59&lt;F61,2,IF(AND(F61=F59,F61&gt;0),1,0))</f>
        <v>0</v>
      </c>
      <c r="L61" s="272">
        <f>SUM(G61:K62)</f>
        <v>0</v>
      </c>
      <c r="M61" s="15"/>
      <c r="N61" s="10"/>
      <c r="O61" s="254"/>
      <c r="P61" s="258"/>
      <c r="Q61" s="259"/>
      <c r="R61" s="259"/>
      <c r="S61" s="259"/>
      <c r="T61" s="259"/>
      <c r="U61" s="259"/>
      <c r="V61" s="259"/>
      <c r="W61" s="259"/>
      <c r="X61" s="259"/>
      <c r="Y61" s="260"/>
      <c r="Z61" s="262"/>
      <c r="AA61" s="13"/>
      <c r="AO61" s="9"/>
      <c r="AQ61" s="254"/>
      <c r="AR61" s="258"/>
      <c r="AS61" s="259"/>
      <c r="AT61" s="259"/>
      <c r="AU61" s="259"/>
      <c r="AV61" s="259"/>
      <c r="AW61" s="259"/>
      <c r="AX61" s="259"/>
      <c r="AY61" s="259"/>
      <c r="AZ61" s="259"/>
      <c r="BA61" s="260"/>
      <c r="BB61" s="262"/>
      <c r="BC61" s="9"/>
      <c r="BM61" s="7">
        <v>12</v>
      </c>
      <c r="BN61" s="7" t="str">
        <f>L41&amp;":"&amp;L39</f>
        <v>0:0</v>
      </c>
      <c r="BO61" s="7" t="str">
        <f>BO54</f>
        <v>0:0</v>
      </c>
      <c r="BP61" s="7" t="str">
        <f t="shared" si="0"/>
        <v>0:0</v>
      </c>
    </row>
    <row r="62" spans="1:68" ht="6.75" customHeight="1" thickBot="1" x14ac:dyDescent="0.25">
      <c r="A62" s="263"/>
      <c r="B62" s="265"/>
      <c r="C62" s="267"/>
      <c r="D62" s="267"/>
      <c r="E62" s="267"/>
      <c r="F62" s="267"/>
      <c r="G62" s="269"/>
      <c r="H62" s="269"/>
      <c r="I62" s="269"/>
      <c r="J62" s="269"/>
      <c r="K62" s="269"/>
      <c r="L62" s="273"/>
      <c r="M62" s="15"/>
      <c r="O62" s="7"/>
      <c r="AO62" s="9"/>
      <c r="BC62" s="26"/>
      <c r="BD62" s="5"/>
      <c r="BM62" s="7">
        <v>13</v>
      </c>
      <c r="BN62" s="7" t="str">
        <f>L31&amp;":"&amp;L29</f>
        <v>0:0</v>
      </c>
      <c r="BO62" s="7" t="str">
        <f>BO53</f>
        <v>0:0</v>
      </c>
      <c r="BP62" s="7" t="str">
        <f t="shared" si="0"/>
        <v>0:0</v>
      </c>
    </row>
    <row r="63" spans="1:68" ht="6.75" customHeight="1" x14ac:dyDescent="0.2">
      <c r="A63" s="254">
        <v>10</v>
      </c>
      <c r="B63" s="255" t="str">
        <f ca="1">IF(A63=" "," ",IFERROR(VLOOKUP(LARGE(INDIRECT(VLOOKUP($A$5,'Start List'!$J$9:$Q$14,5,FALSE)),A63),'Start List'!$B$15:$V$139,3,FALSE),"bye to the next round"))</f>
        <v>Štěpán Špaček</v>
      </c>
      <c r="C63" s="256"/>
      <c r="D63" s="256"/>
      <c r="E63" s="256"/>
      <c r="F63" s="256"/>
      <c r="G63" s="256"/>
      <c r="H63" s="256"/>
      <c r="I63" s="256"/>
      <c r="J63" s="256"/>
      <c r="K63" s="257"/>
      <c r="L63" s="261" t="str">
        <f ca="1">IFERROR(VLOOKUP(LARGE(INDIRECT(VLOOKUP($A$5,'Start List'!$J$9:$Q$14,5,FALSE)),Cadets!A63),'Start List'!$B$15:$V$139,7,FALSE)," ")</f>
        <v xml:space="preserve"> </v>
      </c>
      <c r="M63" s="8"/>
      <c r="O63" s="7"/>
      <c r="AO63" s="9"/>
      <c r="BC63" s="9"/>
      <c r="BM63" s="7">
        <v>14</v>
      </c>
      <c r="BN63" s="7" t="str">
        <f>L71&amp;":"&amp;L69</f>
        <v>0:0</v>
      </c>
      <c r="BO63" s="7" t="str">
        <f>BO52</f>
        <v>0:0</v>
      </c>
      <c r="BP63" s="7" t="str">
        <f t="shared" si="0"/>
        <v>0:0</v>
      </c>
    </row>
    <row r="64" spans="1:68" ht="6.75" customHeight="1" thickBot="1" x14ac:dyDescent="0.25">
      <c r="A64" s="254"/>
      <c r="B64" s="258"/>
      <c r="C64" s="259"/>
      <c r="D64" s="259"/>
      <c r="E64" s="259"/>
      <c r="F64" s="259"/>
      <c r="G64" s="259"/>
      <c r="H64" s="259"/>
      <c r="I64" s="259"/>
      <c r="J64" s="259"/>
      <c r="K64" s="260"/>
      <c r="L64" s="262"/>
      <c r="M64" s="13"/>
      <c r="AC64" s="263">
        <f>VLOOKUP(VLOOKUP($A$5,'Start List'!$J$9:$Q$14,8,FALSE)&amp;A47,Data!$D$2:$H$97,4,FALSE)</f>
        <v>23</v>
      </c>
      <c r="AD64" s="266"/>
      <c r="AE64" s="266"/>
      <c r="AF64" s="266"/>
      <c r="AG64" s="266"/>
      <c r="AH64" s="266"/>
      <c r="AI64" s="269">
        <f>IF(AD64&gt;AD66,2,IF(AND(AD66=AD64,AD64&gt;0),1,0))</f>
        <v>0</v>
      </c>
      <c r="AJ64" s="269">
        <f>IF(AE64&gt;AE66,2,IF(AND(AE66=AE64,AE64&gt;0),1,0))</f>
        <v>0</v>
      </c>
      <c r="AK64" s="269">
        <f>IF(AF64&gt;AF66,2,IF(AND(AF66=AF64,AF64&gt;0),1,0))</f>
        <v>0</v>
      </c>
      <c r="AL64" s="269">
        <f>IF(AG64&gt;AG66,2,IF(AND(AG66=AG64,AG64&gt;0),1,0))</f>
        <v>0</v>
      </c>
      <c r="AM64" s="269">
        <f>IF(AH64&gt;AH66,2,IF(AND(AH66=AH64,AH64&gt;0),1,0))</f>
        <v>0</v>
      </c>
      <c r="AN64" s="277">
        <f>SUM(AI64:AM65)</f>
        <v>0</v>
      </c>
      <c r="AO64" s="9"/>
      <c r="AQ64" s="263">
        <f>VLOOKUP(VLOOKUP($A$5,'Start List'!$J$9:$Q$14,8,FALSE)&amp;A7,Data!$D$2:$H$97,5,FALSE)</f>
        <v>8</v>
      </c>
      <c r="AR64" s="266"/>
      <c r="AS64" s="266"/>
      <c r="AT64" s="266"/>
      <c r="AU64" s="266"/>
      <c r="AV64" s="266"/>
      <c r="AW64" s="269">
        <f>IF(AR64&gt;AR66,2,IF(AND(AR66=AR64,AR64&gt;0),1,0))</f>
        <v>0</v>
      </c>
      <c r="AX64" s="269">
        <f>IF(AS64&gt;AS66,2,IF(AND(AS66=AS64,AS64&gt;0),1,0))</f>
        <v>0</v>
      </c>
      <c r="AY64" s="269">
        <f>IF(AT64&gt;AT66,2,IF(AND(AT66=AT64,AT64&gt;0),1,0))</f>
        <v>0</v>
      </c>
      <c r="AZ64" s="269">
        <f>IF(AU64&gt;AU66,2,IF(AND(AU66=AU64,AU64&gt;0),1,0))</f>
        <v>0</v>
      </c>
      <c r="BA64" s="269">
        <f>IF(AV64&gt;AV66,2,IF(AND(AV66=AV64,AV64&gt;0),1,0))</f>
        <v>0</v>
      </c>
      <c r="BB64" s="277">
        <f>SUM(AW64:BA65)</f>
        <v>0</v>
      </c>
      <c r="BC64" s="9"/>
      <c r="BM64" s="7">
        <v>15</v>
      </c>
      <c r="BN64" s="7" t="str">
        <f>L51&amp;":"&amp;L49</f>
        <v>0:0</v>
      </c>
      <c r="BO64" s="7" t="str">
        <f>BO51</f>
        <v>0:0</v>
      </c>
      <c r="BP64" s="7" t="str">
        <f t="shared" si="0"/>
        <v>0:0</v>
      </c>
    </row>
    <row r="65" spans="1:72" ht="6.75" customHeight="1" x14ac:dyDescent="0.2">
      <c r="A65" s="30"/>
      <c r="AC65" s="263"/>
      <c r="AD65" s="266"/>
      <c r="AE65" s="266"/>
      <c r="AF65" s="266"/>
      <c r="AG65" s="266"/>
      <c r="AH65" s="266"/>
      <c r="AI65" s="269"/>
      <c r="AJ65" s="269"/>
      <c r="AK65" s="269"/>
      <c r="AL65" s="269"/>
      <c r="AM65" s="269"/>
      <c r="AN65" s="277"/>
      <c r="AO65" s="9"/>
      <c r="AQ65" s="263"/>
      <c r="AR65" s="266"/>
      <c r="AS65" s="266"/>
      <c r="AT65" s="266"/>
      <c r="AU65" s="266"/>
      <c r="AV65" s="266"/>
      <c r="AW65" s="269"/>
      <c r="AX65" s="269"/>
      <c r="AY65" s="269"/>
      <c r="AZ65" s="269"/>
      <c r="BA65" s="269"/>
      <c r="BB65" s="277"/>
      <c r="BC65" s="15"/>
      <c r="BE65" s="254" t="str">
        <f>IF(AND(BB64&gt;BB66,BB64&gt;4),AQ60,IF(AND(BB66&gt;BB64,BB66&gt;4),AQ70,IF(AND(BB64=5,BB66=5),MIN(AQ60,AQ70)," ")))</f>
        <v xml:space="preserve"> </v>
      </c>
      <c r="BF65" s="279" t="str">
        <f ca="1">IF(BE65=" "," ",IFERROR(VLOOKUP(LARGE(INDIRECT(VLOOKUP($A$5,'Start List'!$J$9:$Q$14,5,FALSE)),BE65),'Start List'!$B$15:$V$139,3,FALSE),"bye to the next round"))</f>
        <v xml:space="preserve"> </v>
      </c>
      <c r="BG65" s="256"/>
      <c r="BH65" s="256"/>
      <c r="BI65" s="256"/>
      <c r="BJ65" s="257"/>
      <c r="BK65" s="261" t="str">
        <f ca="1">IFERROR(VLOOKUP(LARGE(INDIRECT(VLOOKUP($A$5,'Start List'!$J$9:$Q$14,5,FALSE)),BE65),'Start List'!$B$15:$V$139,7,FALSE)," ")</f>
        <v xml:space="preserve"> </v>
      </c>
      <c r="BM65" s="7">
        <v>16</v>
      </c>
      <c r="BN65" s="7" t="str">
        <f>L11&amp;":"&amp;L9</f>
        <v>0:0</v>
      </c>
      <c r="BO65" s="7" t="str">
        <f>BO50</f>
        <v>0:0</v>
      </c>
      <c r="BP65" s="7" t="str">
        <f t="shared" si="0"/>
        <v>0:0</v>
      </c>
    </row>
    <row r="66" spans="1:72" ht="6.75" customHeight="1" thickBo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63">
        <f>VLOOKUP(VLOOKUP($A$5,'Start List'!$J$9:$Q$14,8,FALSE)&amp;A83,Data!$D$2:$H$97,4,FALSE)</f>
        <v>24</v>
      </c>
      <c r="AD66" s="266"/>
      <c r="AE66" s="266"/>
      <c r="AF66" s="266"/>
      <c r="AG66" s="266"/>
      <c r="AH66" s="266"/>
      <c r="AI66" s="269">
        <f>IF(AD64&lt;AD66,2,IF(AND(AD66=AD64,AD66&gt;0),1,0))</f>
        <v>0</v>
      </c>
      <c r="AJ66" s="269">
        <f>IF(AE64&lt;AE66,2,IF(AND(AE66=AE64,AE66&gt;0),1,0))</f>
        <v>0</v>
      </c>
      <c r="AK66" s="269">
        <f>IF(AF64&lt;AF66,2,IF(AND(AF66=AF64,AF66&gt;0),1,0))</f>
        <v>0</v>
      </c>
      <c r="AL66" s="269">
        <f>IF(AG64&lt;AG66,2,IF(AND(AG66=AG64,AG66&gt;0),1,0))</f>
        <v>0</v>
      </c>
      <c r="AM66" s="269">
        <f>IF(AH64&lt;AH66,2,IF(AND(AH66=AH64,AH66&gt;0),1,0))</f>
        <v>0</v>
      </c>
      <c r="AN66" s="277">
        <f>SUM(AI66:AM67)</f>
        <v>0</v>
      </c>
      <c r="AO66" s="9"/>
      <c r="AP66" s="24"/>
      <c r="AQ66" s="263">
        <f>VLOOKUP(VLOOKUP($A$5,'Start List'!$J$9:$Q$14,8,FALSE)&amp;A47,Data!$D$2:$H$97,5,FALSE)</f>
        <v>9</v>
      </c>
      <c r="AR66" s="266"/>
      <c r="AS66" s="266"/>
      <c r="AT66" s="266"/>
      <c r="AU66" s="266"/>
      <c r="AV66" s="266"/>
      <c r="AW66" s="269">
        <f>IF(AR64&lt;AR66,2,IF(AND(AR66=AR64,AR66&gt;0),1,0))</f>
        <v>0</v>
      </c>
      <c r="AX66" s="269">
        <f>IF(AS64&lt;AS66,2,IF(AND(AS66=AS64,AS66&gt;0),1,0))</f>
        <v>0</v>
      </c>
      <c r="AY66" s="269">
        <f>IF(AT64&lt;AT66,2,IF(AND(AT66=AT64,AT66&gt;0),1,0))</f>
        <v>0</v>
      </c>
      <c r="AZ66" s="269">
        <f>IF(AU64&lt;AU66,2,IF(AND(AU66=AU64,AU66&gt;0),1,0))</f>
        <v>0</v>
      </c>
      <c r="BA66" s="269">
        <f>IF(AV64&lt;AV66,2,IF(AND(AV66=AV64,AV66&gt;0),1,0))</f>
        <v>0</v>
      </c>
      <c r="BB66" s="277">
        <f>SUM(AW66:BA67)</f>
        <v>0</v>
      </c>
      <c r="BC66" s="15"/>
      <c r="BD66" s="10"/>
      <c r="BE66" s="254"/>
      <c r="BF66" s="258"/>
      <c r="BG66" s="259"/>
      <c r="BH66" s="259"/>
      <c r="BI66" s="259"/>
      <c r="BJ66" s="260"/>
      <c r="BK66" s="262"/>
    </row>
    <row r="67" spans="1:72" ht="6.75" customHeight="1" x14ac:dyDescent="0.2">
      <c r="A67" s="254">
        <v>3</v>
      </c>
      <c r="B67" s="255" t="str">
        <f ca="1">IF(A67=" "," ",IFERROR(VLOOKUP(LARGE(INDIRECT(VLOOKUP($A$5,'Start List'!$J$9:$Q$14,5,FALSE)),A67),'Start List'!$B$15:$V$139,3,FALSE),"bye to the next round"))</f>
        <v>Petra Petak</v>
      </c>
      <c r="C67" s="256"/>
      <c r="D67" s="256"/>
      <c r="E67" s="256"/>
      <c r="F67" s="256"/>
      <c r="G67" s="256"/>
      <c r="H67" s="256"/>
      <c r="I67" s="256"/>
      <c r="J67" s="256"/>
      <c r="K67" s="257"/>
      <c r="L67" s="261" t="str">
        <f ca="1">IFERROR(VLOOKUP(LARGE(INDIRECT(VLOOKUP($A$5,'Start List'!$J$9:$Q$14,5,FALSE)),Cadets!A67),'Start List'!$B$15:$V$139,7,FALSE)," ")</f>
        <v xml:space="preserve"> </v>
      </c>
      <c r="M67" s="2"/>
      <c r="N67" s="5"/>
      <c r="O67" s="11"/>
      <c r="P67" s="1"/>
      <c r="Q67" s="1"/>
      <c r="R67" s="1"/>
      <c r="S67" s="1"/>
      <c r="T67" s="1"/>
      <c r="U67" s="1"/>
      <c r="V67" s="1"/>
      <c r="W67" s="1"/>
      <c r="X67" s="1"/>
      <c r="Y67" s="1"/>
      <c r="Z67" s="1"/>
      <c r="AA67" s="1"/>
      <c r="AB67" s="1"/>
      <c r="AC67" s="263"/>
      <c r="AD67" s="266"/>
      <c r="AE67" s="266"/>
      <c r="AF67" s="266"/>
      <c r="AG67" s="266"/>
      <c r="AH67" s="266"/>
      <c r="AI67" s="269"/>
      <c r="AJ67" s="269"/>
      <c r="AK67" s="269"/>
      <c r="AL67" s="269"/>
      <c r="AM67" s="269"/>
      <c r="AN67" s="277"/>
      <c r="AO67" s="9"/>
      <c r="AQ67" s="263"/>
      <c r="AR67" s="266"/>
      <c r="AS67" s="266"/>
      <c r="AT67" s="266"/>
      <c r="AU67" s="266"/>
      <c r="AV67" s="266"/>
      <c r="AW67" s="269"/>
      <c r="AX67" s="269"/>
      <c r="AY67" s="269"/>
      <c r="AZ67" s="269"/>
      <c r="BA67" s="269"/>
      <c r="BB67" s="277"/>
      <c r="BC67" s="15"/>
    </row>
    <row r="68" spans="1:72" ht="6.75" customHeight="1" thickBot="1" x14ac:dyDescent="0.25">
      <c r="A68" s="270"/>
      <c r="B68" s="258"/>
      <c r="C68" s="259"/>
      <c r="D68" s="259"/>
      <c r="E68" s="259"/>
      <c r="F68" s="259"/>
      <c r="G68" s="259"/>
      <c r="H68" s="259"/>
      <c r="I68" s="259"/>
      <c r="J68" s="259"/>
      <c r="K68" s="260"/>
      <c r="L68" s="262"/>
      <c r="M68" s="14"/>
      <c r="AO68" s="9"/>
      <c r="AQ68" s="23"/>
      <c r="BC68" s="9"/>
    </row>
    <row r="69" spans="1:72" ht="6.75" customHeight="1" thickBot="1" x14ac:dyDescent="0.25">
      <c r="A69" s="263" t="str">
        <f>VLOOKUP(VLOOKUP($A$5,'Start List'!$J$9:$Q$14,8,FALSE)&amp;A67,Data!$D$2:$H$97,2,FALSE)</f>
        <v/>
      </c>
      <c r="B69" s="274"/>
      <c r="C69" s="271"/>
      <c r="D69" s="271"/>
      <c r="E69" s="271"/>
      <c r="F69" s="271"/>
      <c r="G69" s="268">
        <f>IF(B69&gt;B71,2,IF(AND(B71=B69,B69&gt;0),1,0))</f>
        <v>0</v>
      </c>
      <c r="H69" s="268">
        <f>IF(C69&gt;C71,2,IF(AND(C71=C69,C69&gt;0),1,0))</f>
        <v>0</v>
      </c>
      <c r="I69" s="268">
        <f>IF(D69&gt;D71,2,IF(AND(D71=D69,D69&gt;0),1,0))</f>
        <v>0</v>
      </c>
      <c r="J69" s="268">
        <f>IF(E69&gt;E71,2,IF(AND(E71=E69,E69&gt;0),1,0))</f>
        <v>0</v>
      </c>
      <c r="K69" s="268">
        <f>IF(F69&gt;F71,2,IF(AND(F71=F69,F69&gt;0),1,0))</f>
        <v>0</v>
      </c>
      <c r="L69" s="272">
        <f>SUM(G69:K70)</f>
        <v>0</v>
      </c>
      <c r="M69" s="9"/>
      <c r="AO69" s="9"/>
      <c r="BC69" s="9"/>
      <c r="BE69" s="3"/>
    </row>
    <row r="70" spans="1:72" ht="6.75" customHeight="1" x14ac:dyDescent="0.2">
      <c r="A70" s="263"/>
      <c r="B70" s="264"/>
      <c r="C70" s="266"/>
      <c r="D70" s="266"/>
      <c r="E70" s="266"/>
      <c r="F70" s="266"/>
      <c r="G70" s="269"/>
      <c r="H70" s="269"/>
      <c r="I70" s="269"/>
      <c r="J70" s="269"/>
      <c r="K70" s="269"/>
      <c r="L70" s="273"/>
      <c r="M70" s="15"/>
      <c r="O70" s="254">
        <f ca="1">IF(B73="bye to the next round",A67,IF(AND(L69&gt;L71,L69&gt;4),A67,IF(AND(L71&gt;L69,L71&gt;4),A73,IF(AND(L69=5,L71=5),MIN(A67,A73)," "))))</f>
        <v>3</v>
      </c>
      <c r="P70" s="255" t="str">
        <f ca="1">IF(O70=" "," ",IFERROR(VLOOKUP(LARGE(INDIRECT(VLOOKUP($A$5,'Start List'!$J$9:$Q$14,5,FALSE)),O70),'Start List'!$B$15:$V$139,3,FALSE),"bye to the next round"))</f>
        <v>Petra Petak</v>
      </c>
      <c r="Q70" s="256"/>
      <c r="R70" s="256"/>
      <c r="S70" s="256"/>
      <c r="T70" s="256"/>
      <c r="U70" s="256"/>
      <c r="V70" s="256"/>
      <c r="W70" s="256"/>
      <c r="X70" s="256"/>
      <c r="Y70" s="257"/>
      <c r="Z70" s="261" t="str">
        <f ca="1">IFERROR(VLOOKUP(LARGE(INDIRECT(VLOOKUP($A$5,'Start List'!$J$9:$Q$14,5,FALSE)),Cadets!O70),'Start List'!$B$15:$V$139,7,FALSE)," ")</f>
        <v xml:space="preserve"> </v>
      </c>
      <c r="AA70" s="16"/>
      <c r="AO70" s="9"/>
      <c r="AQ70" s="254" t="str">
        <f>IF(AND(AN64&gt;AN66,AN64&gt;4),AC75,IF(AND(AN66&gt;AN64,AN66&gt;4),AC55,IF(AND(AN64=5,AN66=5),MAX(AC55,AC75)," ")))</f>
        <v xml:space="preserve"> </v>
      </c>
      <c r="AR70" s="255" t="str">
        <f ca="1">IF(AQ70=" "," ",IFERROR(VLOOKUP(LARGE(INDIRECT(VLOOKUP($A$5,'Start List'!$J$9:$Q$14,5,FALSE)),AQ70),'Start List'!$B$15:$V$139,3,FALSE),"bye to the next round"))</f>
        <v xml:space="preserve"> </v>
      </c>
      <c r="AS70" s="256"/>
      <c r="AT70" s="256"/>
      <c r="AU70" s="256"/>
      <c r="AV70" s="256"/>
      <c r="AW70" s="256"/>
      <c r="AX70" s="256"/>
      <c r="AY70" s="256"/>
      <c r="AZ70" s="256"/>
      <c r="BA70" s="257"/>
      <c r="BB70" s="261" t="str">
        <f ca="1">IFERROR(VLOOKUP(LARGE(INDIRECT(VLOOKUP($A$5,'Start List'!$J$9:$Q$14,5,FALSE)),Cadets!AQ70),'Start List'!$B$15:$V$139,7,FALSE)," ")</f>
        <v xml:space="preserve"> </v>
      </c>
      <c r="BC70" s="8"/>
    </row>
    <row r="71" spans="1:72" ht="6.75" customHeight="1" thickBot="1" x14ac:dyDescent="0.25">
      <c r="A71" s="263" t="str">
        <f>VLOOKUP(VLOOKUP($A$5,'Start List'!$J$9:$Q$14,8,FALSE)&amp;A73,Data!$D$2:$H$97,2,FALSE)</f>
        <v/>
      </c>
      <c r="B71" s="264"/>
      <c r="C71" s="266"/>
      <c r="D71" s="266"/>
      <c r="E71" s="266"/>
      <c r="F71" s="266"/>
      <c r="G71" s="268">
        <f>IF(B69&lt;B71,2,IF(AND(B71=B69,B71&gt;0),1,0))</f>
        <v>0</v>
      </c>
      <c r="H71" s="268">
        <f>IF(C69&lt;C71,2,IF(AND(C71=C69,C71&gt;0),1,0))</f>
        <v>0</v>
      </c>
      <c r="I71" s="268">
        <f>IF(D69&lt;D71,2,IF(AND(D71=D69,D71&gt;0),1,0))</f>
        <v>0</v>
      </c>
      <c r="J71" s="268">
        <f>IF(E69&lt;E71,2,IF(AND(E71=E69,E71&gt;0),1,0))</f>
        <v>0</v>
      </c>
      <c r="K71" s="268">
        <f>IF(F69&lt;F71,2,IF(AND(F71=F69,F71&gt;0),1,0))</f>
        <v>0</v>
      </c>
      <c r="L71" s="272">
        <f>SUM(G71:K72)</f>
        <v>0</v>
      </c>
      <c r="M71" s="15"/>
      <c r="N71" s="10"/>
      <c r="O71" s="254"/>
      <c r="P71" s="258"/>
      <c r="Q71" s="259"/>
      <c r="R71" s="259"/>
      <c r="S71" s="259"/>
      <c r="T71" s="259"/>
      <c r="U71" s="259"/>
      <c r="V71" s="259"/>
      <c r="W71" s="259"/>
      <c r="X71" s="259"/>
      <c r="Y71" s="260"/>
      <c r="Z71" s="262"/>
      <c r="AA71" s="12"/>
      <c r="AO71" s="9"/>
      <c r="AQ71" s="254"/>
      <c r="AR71" s="258"/>
      <c r="AS71" s="259"/>
      <c r="AT71" s="259"/>
      <c r="AU71" s="259"/>
      <c r="AV71" s="259"/>
      <c r="AW71" s="259"/>
      <c r="AX71" s="259"/>
      <c r="AY71" s="259"/>
      <c r="AZ71" s="259"/>
      <c r="BA71" s="260"/>
      <c r="BB71" s="262"/>
      <c r="BC71" s="13"/>
    </row>
    <row r="72" spans="1:72" ht="6.75" customHeight="1" thickBot="1" x14ac:dyDescent="0.25">
      <c r="A72" s="263"/>
      <c r="B72" s="265"/>
      <c r="C72" s="267"/>
      <c r="D72" s="267"/>
      <c r="E72" s="267"/>
      <c r="F72" s="267"/>
      <c r="G72" s="269"/>
      <c r="H72" s="269"/>
      <c r="I72" s="269"/>
      <c r="J72" s="269"/>
      <c r="K72" s="269"/>
      <c r="L72" s="273"/>
      <c r="M72" s="15"/>
      <c r="O72" s="7"/>
      <c r="AA72" s="9"/>
      <c r="AO72" s="9"/>
    </row>
    <row r="73" spans="1:72" ht="6.75" customHeight="1" x14ac:dyDescent="0.2">
      <c r="A73" s="254">
        <v>14</v>
      </c>
      <c r="B73" s="255" t="str">
        <f ca="1">IF(A73=" "," ",IFERROR(VLOOKUP(LARGE(INDIRECT(VLOOKUP($A$5,'Start List'!$J$9:$Q$14,5,FALSE)),A73),'Start List'!$B$15:$V$139,3,FALSE),"bye to the next round"))</f>
        <v>bye to the next round</v>
      </c>
      <c r="C73" s="256"/>
      <c r="D73" s="256"/>
      <c r="E73" s="256"/>
      <c r="F73" s="256"/>
      <c r="G73" s="256"/>
      <c r="H73" s="256"/>
      <c r="I73" s="256"/>
      <c r="J73" s="256"/>
      <c r="K73" s="257"/>
      <c r="L73" s="261" t="str">
        <f ca="1">IFERROR(VLOOKUP(LARGE(INDIRECT(VLOOKUP($A$5,'Start List'!$J$9:$Q$14,5,FALSE)),Cadets!A73),'Start List'!$B$15:$V$139,7,FALSE)," ")</f>
        <v xml:space="preserve"> </v>
      </c>
      <c r="M73" s="8"/>
      <c r="O73" s="7"/>
      <c r="AA73" s="9"/>
      <c r="AO73" s="9"/>
      <c r="BM73" s="200">
        <v>1</v>
      </c>
      <c r="BN73" s="200" t="str">
        <f ca="1">IF($BF$42&lt;&gt;" ",VLOOKUP(LARGE(INDIRECT(VLOOKUP($A$5,'Start List'!$J$9:$Q$14,5,FALSE)),BO73),'Start List'!$B$15:$V$139,3,FALSE),"")</f>
        <v/>
      </c>
      <c r="BO73" s="201" t="str">
        <f>BE25</f>
        <v xml:space="preserve"> </v>
      </c>
      <c r="BP73" s="202" t="e">
        <f t="shared" ref="BP73:BP88" si="1">VLOOKUP(BO73,$BM$50:$BP$65,2,FALSE)</f>
        <v>#N/A</v>
      </c>
      <c r="BQ73" s="202" t="e">
        <f t="shared" ref="BQ73:BQ80" si="2">VLOOKUP(BO73,$BM$50:$BP$65,3,FALSE)</f>
        <v>#N/A</v>
      </c>
      <c r="BR73" s="202" t="e">
        <f>VLOOKUP(BO73,$BM$50:$BP$65,4,FALSE)</f>
        <v>#N/A</v>
      </c>
      <c r="BS73" s="200" t="str">
        <f>LARGE($BB$24:$BB$27,1)&amp;":"&amp;SMALL($BB$24:$BB$27,1)</f>
        <v>0:0</v>
      </c>
      <c r="BT73" s="200"/>
    </row>
    <row r="74" spans="1:72" ht="6.75" customHeight="1" thickBot="1" x14ac:dyDescent="0.25">
      <c r="A74" s="254"/>
      <c r="B74" s="258"/>
      <c r="C74" s="259"/>
      <c r="D74" s="259"/>
      <c r="E74" s="259"/>
      <c r="F74" s="259"/>
      <c r="G74" s="259"/>
      <c r="H74" s="259"/>
      <c r="I74" s="259"/>
      <c r="J74" s="259"/>
      <c r="K74" s="260"/>
      <c r="L74" s="262"/>
      <c r="M74" s="13"/>
      <c r="O74" s="263" t="str">
        <f>VLOOKUP(VLOOKUP($A$5,'Start List'!$J$9:$Q$14,8,FALSE)&amp;A67,Data!$D$2:$H$97,3,FALSE)</f>
        <v/>
      </c>
      <c r="P74" s="266"/>
      <c r="Q74" s="266"/>
      <c r="R74" s="266"/>
      <c r="S74" s="266"/>
      <c r="T74" s="266"/>
      <c r="U74" s="269">
        <f>IF(P74&gt;P76,2,IF(AND(P76=P74,P74&gt;0),1,0))</f>
        <v>0</v>
      </c>
      <c r="V74" s="269">
        <f>IF(Q74&gt;Q76,2,IF(AND(Q76=Q74,Q74&gt;0),1,0))</f>
        <v>0</v>
      </c>
      <c r="W74" s="269">
        <f>IF(R74&gt;R76,2,IF(AND(R76=R74,R74&gt;0),1,0))</f>
        <v>0</v>
      </c>
      <c r="X74" s="269">
        <f>IF(S74&gt;S76,2,IF(AND(S76=S74,S74&gt;0),1,0))</f>
        <v>0</v>
      </c>
      <c r="Y74" s="269">
        <f>IF(T74&gt;T76,2,IF(AND(T76=T74,T74&gt;0),1,0))</f>
        <v>0</v>
      </c>
      <c r="Z74" s="277">
        <f>SUM(U74:Y75)</f>
        <v>0</v>
      </c>
      <c r="AA74" s="9"/>
      <c r="AO74" s="9"/>
      <c r="BM74" s="200">
        <v>2</v>
      </c>
      <c r="BN74" s="200" t="str">
        <f ca="1">IF($BF$42&lt;&gt;" ",VLOOKUP(LARGE(INDIRECT(VLOOKUP($A$5,'Start List'!$J$9:$Q$14,5,FALSE)),BO74),'Start List'!$B$15:$V$139,3,FALSE),"")</f>
        <v/>
      </c>
      <c r="BO74" s="201" t="str">
        <f>IF(AQ20=BE25,AQ30,AQ20)</f>
        <v xml:space="preserve"> </v>
      </c>
      <c r="BP74" s="202" t="e">
        <f t="shared" si="1"/>
        <v>#N/A</v>
      </c>
      <c r="BQ74" s="202" t="e">
        <f t="shared" si="2"/>
        <v>#N/A</v>
      </c>
      <c r="BR74" s="202" t="e">
        <f t="shared" ref="BR74:BR76" si="3">VLOOKUP(BO74,$BM$50:$BP$65,4,FALSE)</f>
        <v>#N/A</v>
      </c>
      <c r="BS74" s="200" t="str">
        <f>SMALL($BB$24:$BB$27,1)&amp;":"&amp;LARGE($BB$24:$BB$27,1)</f>
        <v>0:0</v>
      </c>
      <c r="BT74" s="200"/>
    </row>
    <row r="75" spans="1:72" ht="6.75" customHeight="1" x14ac:dyDescent="0.2">
      <c r="A75" s="30"/>
      <c r="O75" s="263"/>
      <c r="P75" s="266"/>
      <c r="Q75" s="266"/>
      <c r="R75" s="266"/>
      <c r="S75" s="266"/>
      <c r="T75" s="266"/>
      <c r="U75" s="269"/>
      <c r="V75" s="269"/>
      <c r="W75" s="269"/>
      <c r="X75" s="269"/>
      <c r="Y75" s="269"/>
      <c r="Z75" s="277"/>
      <c r="AA75" s="9"/>
      <c r="AC75" s="254" t="str">
        <f ca="1">IF(P80="bye to the next round",O70,IF(AND(Z74&gt;Z76,Z74&gt;4),O70,IF(AND(Z76&gt;Z74,Z76&gt;4),O80,IF(AND(Z74=5,Z76=5),MIN(O70,O80)," "))))</f>
        <v xml:space="preserve"> </v>
      </c>
      <c r="AD75" s="292" t="str">
        <f ca="1">IF(AC75=" "," ",IFERROR(VLOOKUP(LARGE(INDIRECT(VLOOKUP($A$5,'Start List'!$J$9:$Q$14,5,FALSE)),AC75),'Start List'!$B$15:$V$139,3,FALSE),"bye to the next round"))</f>
        <v xml:space="preserve"> </v>
      </c>
      <c r="AE75" s="293"/>
      <c r="AF75" s="293"/>
      <c r="AG75" s="293"/>
      <c r="AH75" s="293"/>
      <c r="AI75" s="293"/>
      <c r="AJ75" s="293"/>
      <c r="AK75" s="293"/>
      <c r="AL75" s="293"/>
      <c r="AM75" s="294"/>
      <c r="AN75" s="261" t="str">
        <f ca="1">IFERROR(VLOOKUP(LARGE(INDIRECT(VLOOKUP($A$5,'Start List'!$J$9:$Q$14,5,FALSE)),Cadets!AC75),'Start List'!$B$15:$V$139,7,FALSE)," ")</f>
        <v xml:space="preserve"> </v>
      </c>
      <c r="AO75" s="8"/>
      <c r="BM75" s="200">
        <v>3</v>
      </c>
      <c r="BN75" s="200" t="str">
        <f ca="1">IF($BF$42&lt;&gt;" ",VLOOKUP(LARGE(INDIRECT(VLOOKUP($A$5,'Start List'!$J$9:$Q$14,5,FALSE)),BO75),'Start List'!$B$15:$V$139,3,FALSE),"")</f>
        <v/>
      </c>
      <c r="BO75" s="201" t="str">
        <f>BE65</f>
        <v xml:space="preserve"> </v>
      </c>
      <c r="BP75" s="202" t="e">
        <f t="shared" si="1"/>
        <v>#N/A</v>
      </c>
      <c r="BQ75" s="202" t="e">
        <f t="shared" si="2"/>
        <v>#N/A</v>
      </c>
      <c r="BR75" s="202" t="e">
        <f t="shared" si="3"/>
        <v>#N/A</v>
      </c>
      <c r="BS75" s="200" t="str">
        <f>LARGE($BB$64:$BB$67,1)&amp;":"&amp;SMALL($BB$64:$BB$67,1)</f>
        <v>0:0</v>
      </c>
      <c r="BT75" s="200"/>
    </row>
    <row r="76" spans="1:72" ht="6.75" customHeight="1" thickBot="1" x14ac:dyDescent="0.25">
      <c r="A76" s="29"/>
      <c r="B76" s="29"/>
      <c r="C76" s="29"/>
      <c r="D76" s="29"/>
      <c r="E76" s="29"/>
      <c r="F76" s="29"/>
      <c r="G76" s="29"/>
      <c r="H76" s="29"/>
      <c r="I76" s="29"/>
      <c r="J76" s="29"/>
      <c r="K76" s="29"/>
      <c r="L76" s="29"/>
      <c r="M76" s="29"/>
      <c r="N76" s="29"/>
      <c r="O76" s="263" t="str">
        <f>VLOOKUP(VLOOKUP($A$5,'Start List'!$J$9:$Q$14,8,FALSE)&amp;A83,Data!$D$2:$H$97,3,FALSE)</f>
        <v/>
      </c>
      <c r="P76" s="266"/>
      <c r="Q76" s="266"/>
      <c r="R76" s="266"/>
      <c r="S76" s="266"/>
      <c r="T76" s="266"/>
      <c r="U76" s="269">
        <f>IF(P74&lt;P76,2,IF(AND(P76=P74,P76&gt;0),1,0))</f>
        <v>0</v>
      </c>
      <c r="V76" s="269">
        <f>IF(Q74&lt;Q76,2,IF(AND(Q76=Q74,Q76&gt;0),1,0))</f>
        <v>0</v>
      </c>
      <c r="W76" s="269">
        <f>IF(R74&lt;R76,2,IF(AND(R76=R74,R76&gt;0),1,0))</f>
        <v>0</v>
      </c>
      <c r="X76" s="269">
        <f>IF(S74&lt;S76,2,IF(AND(S76=S74,S76&gt;0),1,0))</f>
        <v>0</v>
      </c>
      <c r="Y76" s="269">
        <f>IF(T74&lt;T76,2,IF(AND(T76=T74,T76&gt;0),1,0))</f>
        <v>0</v>
      </c>
      <c r="Z76" s="277">
        <f>SUM(U76:Y77)</f>
        <v>0</v>
      </c>
      <c r="AA76" s="17"/>
      <c r="AB76" s="19"/>
      <c r="AC76" s="254"/>
      <c r="AD76" s="295"/>
      <c r="AE76" s="296"/>
      <c r="AF76" s="296"/>
      <c r="AG76" s="296"/>
      <c r="AH76" s="296"/>
      <c r="AI76" s="296"/>
      <c r="AJ76" s="296"/>
      <c r="AK76" s="296"/>
      <c r="AL76" s="296"/>
      <c r="AM76" s="297"/>
      <c r="AN76" s="262"/>
      <c r="AO76" s="13"/>
      <c r="BM76" s="200">
        <v>4</v>
      </c>
      <c r="BN76" s="200" t="str">
        <f ca="1">IF($BF$42&lt;&gt;" ",VLOOKUP(LARGE(INDIRECT(VLOOKUP($A$5,'Start List'!$J$9:$Q$14,5,FALSE)),BO76),'Start List'!$B$15:$V$139,3,FALSE),"")</f>
        <v/>
      </c>
      <c r="BO76" s="201" t="str">
        <f>IF(AQ60=BE65,AQ70,AQ60)</f>
        <v xml:space="preserve"> </v>
      </c>
      <c r="BP76" s="202" t="e">
        <f t="shared" si="1"/>
        <v>#N/A</v>
      </c>
      <c r="BQ76" s="202" t="e">
        <f t="shared" si="2"/>
        <v>#N/A</v>
      </c>
      <c r="BR76" s="202" t="e">
        <f t="shared" si="3"/>
        <v>#N/A</v>
      </c>
      <c r="BS76" s="200" t="str">
        <f>SMALL($BB$64:$BB$67,1)&amp;":"&amp;LARGE($BB$64:$BB$67,1)</f>
        <v>0:0</v>
      </c>
      <c r="BT76" s="200"/>
    </row>
    <row r="77" spans="1:72" ht="6.75" customHeight="1" x14ac:dyDescent="0.2">
      <c r="A77" s="254">
        <v>6</v>
      </c>
      <c r="B77" s="255" t="str">
        <f ca="1">IF(A77=" "," ",IFERROR(VLOOKUP(LARGE(INDIRECT(VLOOKUP($A$5,'Start List'!$J$9:$Q$14,5,FALSE)),A77),'Start List'!$B$15:$V$139,3,FALSE),"bye to the next round"))</f>
        <v>Vyskočil Denis</v>
      </c>
      <c r="C77" s="256"/>
      <c r="D77" s="256"/>
      <c r="E77" s="256"/>
      <c r="F77" s="256"/>
      <c r="G77" s="256"/>
      <c r="H77" s="256"/>
      <c r="I77" s="256"/>
      <c r="J77" s="256"/>
      <c r="K77" s="257"/>
      <c r="L77" s="261" t="str">
        <f ca="1">IFERROR(VLOOKUP(LARGE(INDIRECT(VLOOKUP($A$5,'Start List'!$J$9:$Q$14,5,FALSE)),Cadets!A77),'Start List'!$B$15:$V$139,7,FALSE)," ")</f>
        <v xml:space="preserve"> </v>
      </c>
      <c r="M77" s="2"/>
      <c r="N77" s="5"/>
      <c r="O77" s="263"/>
      <c r="P77" s="266"/>
      <c r="Q77" s="266"/>
      <c r="R77" s="266"/>
      <c r="S77" s="266"/>
      <c r="T77" s="266"/>
      <c r="U77" s="269"/>
      <c r="V77" s="269"/>
      <c r="W77" s="269"/>
      <c r="X77" s="269"/>
      <c r="Y77" s="269"/>
      <c r="Z77" s="277"/>
      <c r="AA77" s="18"/>
      <c r="AB77" s="1"/>
      <c r="AN77" s="27"/>
      <c r="AO77" s="298"/>
      <c r="AP77" s="298"/>
      <c r="BM77" s="204">
        <v>5</v>
      </c>
      <c r="BN77" s="200" t="str">
        <f ca="1">IF($BF$42&lt;&gt;" ",VLOOKUP(LARGE(INDIRECT(VLOOKUP($A$5,'Start List'!$J$9:$Q$14,5,FALSE)),BO77),'Start List'!$B$15:$V$139,3,FALSE),"")</f>
        <v/>
      </c>
      <c r="BO77" s="202">
        <f ca="1">SMALL($BT$77:$BT$80,1)</f>
        <v>1</v>
      </c>
      <c r="BP77" s="202" t="str">
        <f t="shared" ca="1" si="1"/>
        <v>0:0</v>
      </c>
      <c r="BQ77" s="202" t="str">
        <f t="shared" ca="1" si="2"/>
        <v>0:0</v>
      </c>
      <c r="BR77" s="200" t="str">
        <f>""</f>
        <v/>
      </c>
      <c r="BS77" s="200" t="str">
        <f>""</f>
        <v/>
      </c>
      <c r="BT77" s="202">
        <f ca="1">IF(O10=AC15,O20,O10)</f>
        <v>1</v>
      </c>
    </row>
    <row r="78" spans="1:72" ht="6.75" customHeight="1" thickBot="1" x14ac:dyDescent="0.25">
      <c r="A78" s="270"/>
      <c r="B78" s="258"/>
      <c r="C78" s="259"/>
      <c r="D78" s="259"/>
      <c r="E78" s="259"/>
      <c r="F78" s="259"/>
      <c r="G78" s="259"/>
      <c r="H78" s="259"/>
      <c r="I78" s="259"/>
      <c r="J78" s="259"/>
      <c r="K78" s="260"/>
      <c r="L78" s="262"/>
      <c r="M78" s="14"/>
      <c r="AA78" s="9"/>
      <c r="AN78" s="23"/>
      <c r="AO78" s="298"/>
      <c r="AP78" s="298"/>
      <c r="BM78" s="200">
        <v>6</v>
      </c>
      <c r="BN78" s="200" t="str">
        <f ca="1">IF($BF$42&lt;&gt;" ",VLOOKUP(LARGE(INDIRECT(VLOOKUP($A$5,'Start List'!$J$9:$Q$14,5,FALSE)),BO78),'Start List'!$B$15:$V$139,3,FALSE),"")</f>
        <v/>
      </c>
      <c r="BO78" s="202">
        <f ca="1">SMALL($BT$77:$BT$80,2)</f>
        <v>2</v>
      </c>
      <c r="BP78" s="202" t="str">
        <f t="shared" ca="1" si="1"/>
        <v>0:0</v>
      </c>
      <c r="BQ78" s="202" t="str">
        <f t="shared" ca="1" si="2"/>
        <v>0:0</v>
      </c>
      <c r="BR78" s="200" t="str">
        <f>""</f>
        <v/>
      </c>
      <c r="BS78" s="200" t="str">
        <f>""</f>
        <v/>
      </c>
      <c r="BT78" s="200">
        <f ca="1">IF(O30=AC35,O40,O30)</f>
        <v>4</v>
      </c>
    </row>
    <row r="79" spans="1:72" ht="6.75" customHeight="1" thickBot="1" x14ac:dyDescent="0.25">
      <c r="A79" s="263" t="str">
        <f>VLOOKUP(VLOOKUP($A$5,'Start List'!$J$9:$Q$14,8,FALSE)&amp;A77,Data!$D$2:$H$97,2,FALSE)</f>
        <v/>
      </c>
      <c r="B79" s="274"/>
      <c r="C79" s="271"/>
      <c r="D79" s="271"/>
      <c r="E79" s="271"/>
      <c r="F79" s="271"/>
      <c r="G79" s="268">
        <f>IF(B79&gt;B81,2,IF(AND(B81=B79,B79&gt;0),1,0))</f>
        <v>0</v>
      </c>
      <c r="H79" s="268">
        <f>IF(C79&gt;C81,2,IF(AND(C81=C79,C79&gt;0),1,0))</f>
        <v>0</v>
      </c>
      <c r="I79" s="268">
        <f>IF(D79&gt;D81,2,IF(AND(D81=D79,D79&gt;0),1,0))</f>
        <v>0</v>
      </c>
      <c r="J79" s="268">
        <f>IF(E79&gt;E81,2,IF(AND(E81=E79,E79&gt;0),1,0))</f>
        <v>0</v>
      </c>
      <c r="K79" s="268">
        <f>IF(F79&gt;F81,2,IF(AND(F81=F79,F79&gt;0),1,0))</f>
        <v>0</v>
      </c>
      <c r="L79" s="272">
        <f>SUM(G79:K80)</f>
        <v>0</v>
      </c>
      <c r="M79" s="9"/>
      <c r="AA79" s="9"/>
      <c r="AN79" s="23"/>
      <c r="AO79" s="298"/>
      <c r="AP79" s="298"/>
      <c r="BM79" s="200">
        <v>7</v>
      </c>
      <c r="BN79" s="200" t="str">
        <f ca="1">IF($BF$42&lt;&gt;" ",VLOOKUP(LARGE(INDIRECT(VLOOKUP($A$5,'Start List'!$J$9:$Q$14,5,FALSE)),BO79),'Start List'!$B$15:$V$139,3,FALSE),"")</f>
        <v/>
      </c>
      <c r="BO79" s="202">
        <f ca="1">SMALL($BT$77:$BT$80,3)</f>
        <v>3</v>
      </c>
      <c r="BP79" s="202" t="str">
        <f t="shared" ca="1" si="1"/>
        <v>0:0</v>
      </c>
      <c r="BQ79" s="202" t="str">
        <f t="shared" ca="1" si="2"/>
        <v>0:0</v>
      </c>
      <c r="BR79" s="200" t="str">
        <f>""</f>
        <v/>
      </c>
      <c r="BS79" s="200" t="str">
        <f>""</f>
        <v/>
      </c>
      <c r="BT79" s="200">
        <f ca="1">IF(O50=AC55,O60,O50)</f>
        <v>2</v>
      </c>
    </row>
    <row r="80" spans="1:72" ht="6.75" customHeight="1" x14ac:dyDescent="0.2">
      <c r="A80" s="263"/>
      <c r="B80" s="264"/>
      <c r="C80" s="266"/>
      <c r="D80" s="266"/>
      <c r="E80" s="266"/>
      <c r="F80" s="266"/>
      <c r="G80" s="269"/>
      <c r="H80" s="269"/>
      <c r="I80" s="269"/>
      <c r="J80" s="269"/>
      <c r="K80" s="269"/>
      <c r="L80" s="273"/>
      <c r="M80" s="15"/>
      <c r="O80" s="254">
        <f ca="1">IF(B83="bye to the next round",A77,IF(AND(L79&gt;L81,L79&gt;4),A77,IF(AND(L81&gt;L79,L81&gt;4),A83,IF(AND(L79=5,L81=5),MIN(A77,A83)," "))))</f>
        <v>6</v>
      </c>
      <c r="P80" s="255" t="str">
        <f ca="1">IF(O80=" "," ",IFERROR(VLOOKUP(LARGE(INDIRECT(VLOOKUP($A$5,'Start List'!$J$9:$Q$14,5,FALSE)),O80),'Start List'!$B$15:$V$139,3,FALSE),"bye to the next round"))</f>
        <v>Vyskočil Denis</v>
      </c>
      <c r="Q80" s="256"/>
      <c r="R80" s="256"/>
      <c r="S80" s="256"/>
      <c r="T80" s="256"/>
      <c r="U80" s="256"/>
      <c r="V80" s="256"/>
      <c r="W80" s="256"/>
      <c r="X80" s="256"/>
      <c r="Y80" s="257"/>
      <c r="Z80" s="261" t="str">
        <f ca="1">IFERROR(VLOOKUP(LARGE(INDIRECT(VLOOKUP($A$5,'Start List'!$J$9:$Q$14,5,FALSE)),Cadets!O80),'Start List'!$B$15:$V$139,7,FALSE)," ")</f>
        <v xml:space="preserve"> </v>
      </c>
      <c r="AA80" s="8"/>
      <c r="AN80" s="23"/>
      <c r="AO80" s="298"/>
      <c r="AP80" s="298"/>
      <c r="BM80" s="200">
        <v>8</v>
      </c>
      <c r="BN80" s="200" t="str">
        <f ca="1">IF($BF$42&lt;&gt;" ",VLOOKUP(LARGE(INDIRECT(VLOOKUP($A$5,'Start List'!$J$9:$Q$14,5,FALSE)),BO80),'Start List'!$B$15:$V$139,3,FALSE),"")</f>
        <v/>
      </c>
      <c r="BO80" s="202">
        <f ca="1">SMALL($BT$77:$BT$80,4)</f>
        <v>4</v>
      </c>
      <c r="BP80" s="202" t="str">
        <f t="shared" ca="1" si="1"/>
        <v>0:0</v>
      </c>
      <c r="BQ80" s="202" t="str">
        <f t="shared" ca="1" si="2"/>
        <v>0:0</v>
      </c>
      <c r="BR80" s="200" t="str">
        <f>""</f>
        <v/>
      </c>
      <c r="BS80" s="200" t="str">
        <f>""</f>
        <v/>
      </c>
      <c r="BT80" s="200">
        <f ca="1">IF(O70=AC75,O80,O70)</f>
        <v>3</v>
      </c>
    </row>
    <row r="81" spans="1:72" ht="6.75" customHeight="1" thickBot="1" x14ac:dyDescent="0.25">
      <c r="A81" s="263" t="str">
        <f>VLOOKUP(VLOOKUP($A$5,'Start List'!$J$9:$Q$14,8,FALSE)&amp;A83,Data!$D$2:$H$97,2,FALSE)</f>
        <v/>
      </c>
      <c r="B81" s="264"/>
      <c r="C81" s="266"/>
      <c r="D81" s="266"/>
      <c r="E81" s="266"/>
      <c r="F81" s="266"/>
      <c r="G81" s="268">
        <f>IF(B79&lt;B81,2,IF(AND(B81=B79,B81&gt;0),1,0))</f>
        <v>0</v>
      </c>
      <c r="H81" s="268">
        <f>IF(C79&lt;C81,2,IF(AND(C81=C79,C81&gt;0),1,0))</f>
        <v>0</v>
      </c>
      <c r="I81" s="268">
        <f>IF(D79&lt;D81,2,IF(AND(D81=D79,D81&gt;0),1,0))</f>
        <v>0</v>
      </c>
      <c r="J81" s="268">
        <f>IF(E79&lt;E81,2,IF(AND(E81=E79,E81&gt;0),1,0))</f>
        <v>0</v>
      </c>
      <c r="K81" s="268">
        <f>IF(F79&lt;F81,2,IF(AND(F81=F79,F81&gt;0),1,0))</f>
        <v>0</v>
      </c>
      <c r="L81" s="272">
        <f>SUM(G81:K82)</f>
        <v>0</v>
      </c>
      <c r="M81" s="15"/>
      <c r="N81" s="10"/>
      <c r="O81" s="254"/>
      <c r="P81" s="258"/>
      <c r="Q81" s="259"/>
      <c r="R81" s="259"/>
      <c r="S81" s="259"/>
      <c r="T81" s="259"/>
      <c r="U81" s="259"/>
      <c r="V81" s="259"/>
      <c r="W81" s="259"/>
      <c r="X81" s="259"/>
      <c r="Y81" s="260"/>
      <c r="Z81" s="262"/>
      <c r="AA81" s="13"/>
      <c r="AN81" s="23"/>
      <c r="AO81" s="298"/>
      <c r="AP81" s="298"/>
      <c r="BM81" s="200">
        <v>9</v>
      </c>
      <c r="BN81" s="200" t="str">
        <f ca="1">IF($BF$42&lt;&gt;" ",VLOOKUP(LARGE(INDIRECT(VLOOKUP($A$5,'Start List'!$J$9:$Q$14,5,FALSE)),BO81),'Start List'!$B$15:$V$139,3,FALSE),"")</f>
        <v/>
      </c>
      <c r="BO81" s="200">
        <f t="shared" ref="BO81:BO88" ca="1" si="4">SMALL($BT$81:$BT$88,BM50)</f>
        <v>7</v>
      </c>
      <c r="BP81" s="202" t="str">
        <f t="shared" ca="1" si="1"/>
        <v>0:0</v>
      </c>
      <c r="BQ81" s="200" t="str">
        <f>""</f>
        <v/>
      </c>
      <c r="BR81" s="200" t="str">
        <f>""</f>
        <v/>
      </c>
      <c r="BS81" s="200" t="str">
        <f>""</f>
        <v/>
      </c>
      <c r="BT81" s="200">
        <f ca="1">IF(A7=O10,A13,A7)</f>
        <v>16</v>
      </c>
    </row>
    <row r="82" spans="1:72" ht="6.75" customHeight="1" thickBot="1" x14ac:dyDescent="0.25">
      <c r="A82" s="263"/>
      <c r="B82" s="265"/>
      <c r="C82" s="267"/>
      <c r="D82" s="267"/>
      <c r="E82" s="267"/>
      <c r="F82" s="267"/>
      <c r="G82" s="269"/>
      <c r="H82" s="269"/>
      <c r="I82" s="269"/>
      <c r="J82" s="269"/>
      <c r="K82" s="269"/>
      <c r="L82" s="273"/>
      <c r="M82" s="15"/>
      <c r="O82" s="7"/>
      <c r="AN82" s="23"/>
      <c r="AO82" s="298"/>
      <c r="AP82" s="298"/>
      <c r="BM82" s="200">
        <v>10</v>
      </c>
      <c r="BN82" s="200" t="str">
        <f ca="1">IF($BF$42&lt;&gt;" ",VLOOKUP(LARGE(INDIRECT(VLOOKUP($A$5,'Start List'!$J$9:$Q$14,5,FALSE)),BO82),'Start List'!$B$15:$V$139,3,FALSE),"")</f>
        <v/>
      </c>
      <c r="BO82" s="200">
        <f t="shared" ca="1" si="4"/>
        <v>8</v>
      </c>
      <c r="BP82" s="202" t="str">
        <f t="shared" ca="1" si="1"/>
        <v>0:0</v>
      </c>
      <c r="BQ82" s="200" t="str">
        <f>""</f>
        <v/>
      </c>
      <c r="BR82" s="200" t="str">
        <f>""</f>
        <v/>
      </c>
      <c r="BS82" s="200" t="str">
        <f>""</f>
        <v/>
      </c>
      <c r="BT82" s="200">
        <f ca="1">IF(A17=O20,A23,A17)</f>
        <v>8</v>
      </c>
    </row>
    <row r="83" spans="1:72" ht="6.75" customHeight="1" x14ac:dyDescent="0.2">
      <c r="A83" s="254">
        <v>11</v>
      </c>
      <c r="B83" s="255" t="str">
        <f ca="1">IF(A83=" "," ",IFERROR(VLOOKUP(LARGE(INDIRECT(VLOOKUP($A$5,'Start List'!$J$9:$Q$14,5,FALSE)),A83),'Start List'!$B$15:$V$139,3,FALSE),"bye to the next round"))</f>
        <v>bye to the next round</v>
      </c>
      <c r="C83" s="256"/>
      <c r="D83" s="256"/>
      <c r="E83" s="256"/>
      <c r="F83" s="256"/>
      <c r="G83" s="256"/>
      <c r="H83" s="256"/>
      <c r="I83" s="256"/>
      <c r="J83" s="256"/>
      <c r="K83" s="257"/>
      <c r="L83" s="261" t="str">
        <f ca="1">IFERROR(VLOOKUP(LARGE(INDIRECT(VLOOKUP($A$5,'Start List'!$J$9:$Q$14,5,FALSE)),Cadets!A83),'Start List'!$B$15:$V$139,7,FALSE)," ")</f>
        <v xml:space="preserve"> </v>
      </c>
      <c r="M83" s="8"/>
      <c r="O83" s="7"/>
      <c r="AN83" s="23"/>
      <c r="AO83" s="298"/>
      <c r="AP83" s="298"/>
      <c r="BM83" s="200">
        <v>11</v>
      </c>
      <c r="BN83" s="200" t="str">
        <f ca="1">IF($BF$42&lt;&gt;" ",VLOOKUP(LARGE(INDIRECT(VLOOKUP($A$5,'Start List'!$J$9:$Q$14,5,FALSE)),BO83),'Start List'!$B$15:$V$139,3,FALSE),"")</f>
        <v/>
      </c>
      <c r="BO83" s="200">
        <f t="shared" ca="1" si="4"/>
        <v>11</v>
      </c>
      <c r="BP83" s="202" t="str">
        <f t="shared" ca="1" si="1"/>
        <v>0:0</v>
      </c>
      <c r="BQ83" s="200" t="str">
        <f>""</f>
        <v/>
      </c>
      <c r="BR83" s="200" t="str">
        <f>""</f>
        <v/>
      </c>
      <c r="BS83" s="200" t="str">
        <f>""</f>
        <v/>
      </c>
      <c r="BT83" s="200">
        <f ca="1">IF(A27=O30,A33,A27)</f>
        <v>13</v>
      </c>
    </row>
    <row r="84" spans="1:72" ht="6.75" customHeight="1" thickBot="1" x14ac:dyDescent="0.25">
      <c r="A84" s="254"/>
      <c r="B84" s="258"/>
      <c r="C84" s="259"/>
      <c r="D84" s="259"/>
      <c r="E84" s="259"/>
      <c r="F84" s="259"/>
      <c r="G84" s="259"/>
      <c r="H84" s="259"/>
      <c r="I84" s="259"/>
      <c r="J84" s="259"/>
      <c r="K84" s="260"/>
      <c r="L84" s="262"/>
      <c r="M84" s="13"/>
      <c r="AN84" s="23"/>
      <c r="AO84" s="298"/>
      <c r="AP84" s="298"/>
      <c r="BM84" s="200">
        <v>12</v>
      </c>
      <c r="BN84" s="200" t="str">
        <f ca="1">IF($BF$42&lt;&gt;" ",VLOOKUP(LARGE(INDIRECT(VLOOKUP($A$5,'Start List'!$J$9:$Q$14,5,FALSE)),BO84),'Start List'!$B$15:$V$139,3,FALSE),"")</f>
        <v/>
      </c>
      <c r="BO84" s="200">
        <f t="shared" ca="1" si="4"/>
        <v>12</v>
      </c>
      <c r="BP84" s="202" t="str">
        <f t="shared" ca="1" si="1"/>
        <v>0:0</v>
      </c>
      <c r="BQ84" s="200" t="str">
        <f>""</f>
        <v/>
      </c>
      <c r="BR84" s="200" t="str">
        <f>""</f>
        <v/>
      </c>
      <c r="BS84" s="200" t="str">
        <f>""</f>
        <v/>
      </c>
      <c r="BT84" s="200">
        <f ca="1">IF(A37=O40,A43,A37)</f>
        <v>12</v>
      </c>
    </row>
    <row r="85" spans="1:72" ht="6.75" customHeight="1" x14ac:dyDescent="0.2">
      <c r="A85" s="30"/>
      <c r="AN85" s="23"/>
      <c r="AO85" s="34"/>
      <c r="AP85" s="34"/>
      <c r="BM85" s="200">
        <v>13</v>
      </c>
      <c r="BN85" s="200" t="str">
        <f ca="1">IF($BF$42&lt;&gt;" ",VLOOKUP(LARGE(INDIRECT(VLOOKUP($A$5,'Start List'!$J$9:$Q$14,5,FALSE)),BO85),'Start List'!$B$15:$V$139,3,FALSE),"")</f>
        <v/>
      </c>
      <c r="BO85" s="200">
        <f t="shared" ca="1" si="4"/>
        <v>13</v>
      </c>
      <c r="BP85" s="202" t="str">
        <f t="shared" ca="1" si="1"/>
        <v>0:0</v>
      </c>
      <c r="BQ85" s="200" t="str">
        <f>""</f>
        <v/>
      </c>
      <c r="BR85" s="200" t="str">
        <f>""</f>
        <v/>
      </c>
      <c r="BS85" s="200" t="str">
        <f>""</f>
        <v/>
      </c>
      <c r="BT85" s="200">
        <f ca="1">IF(A47=O50,A53,A47)</f>
        <v>15</v>
      </c>
    </row>
    <row r="86" spans="1:72" ht="6.75" customHeight="1" x14ac:dyDescent="0.2">
      <c r="A86" s="31"/>
      <c r="B86" s="7"/>
      <c r="C86" s="7"/>
      <c r="D86" s="7"/>
      <c r="E86" s="7"/>
      <c r="F86" s="7"/>
      <c r="G86" s="7"/>
      <c r="H86" s="7"/>
      <c r="I86" s="7"/>
      <c r="J86" s="7"/>
      <c r="K86" s="7"/>
      <c r="L86" s="7"/>
      <c r="O86" s="7"/>
      <c r="AA86" s="23"/>
      <c r="AB86" s="34"/>
      <c r="AC86" s="34"/>
      <c r="BM86" s="11">
        <v>14</v>
      </c>
      <c r="BN86" s="200" t="str">
        <f ca="1">IF($BF$42&lt;&gt;" ",VLOOKUP(LARGE(INDIRECT(VLOOKUP($A$5,'Start List'!$J$9:$Q$14,5,FALSE)),BO86),'Start List'!$B$15:$V$139,3,FALSE),"")</f>
        <v/>
      </c>
      <c r="BO86" s="200">
        <f t="shared" ca="1" si="4"/>
        <v>14</v>
      </c>
      <c r="BP86" s="202" t="str">
        <f t="shared" ca="1" si="1"/>
        <v>0:0</v>
      </c>
      <c r="BQ86" s="200" t="str">
        <f>""</f>
        <v/>
      </c>
      <c r="BR86" s="200" t="str">
        <f>""</f>
        <v/>
      </c>
      <c r="BS86" s="200" t="str">
        <f>""</f>
        <v/>
      </c>
      <c r="BT86" s="203">
        <f ca="1">IF(A57=O60,A63,A57)</f>
        <v>7</v>
      </c>
    </row>
    <row r="87" spans="1:72" ht="6.75" customHeight="1" x14ac:dyDescent="0.2">
      <c r="A87" s="23"/>
      <c r="B87" s="3"/>
      <c r="C87" s="7"/>
      <c r="D87" s="7"/>
      <c r="E87" s="7"/>
      <c r="F87" s="7"/>
      <c r="G87" s="7"/>
      <c r="H87" s="7"/>
      <c r="I87" s="7"/>
      <c r="J87" s="7"/>
      <c r="K87" s="7"/>
      <c r="L87" s="7"/>
      <c r="O87" s="7"/>
      <c r="BM87" s="193">
        <v>15</v>
      </c>
      <c r="BN87" s="200" t="str">
        <f ca="1">IF($BF$42&lt;&gt;" ",VLOOKUP(LARGE(INDIRECT(VLOOKUP($A$5,'Start List'!$J$9:$Q$14,5,FALSE)),BO87),'Start List'!$B$15:$V$139,3,FALSE),"")</f>
        <v/>
      </c>
      <c r="BO87" s="200">
        <f t="shared" ca="1" si="4"/>
        <v>15</v>
      </c>
      <c r="BP87" s="202" t="str">
        <f t="shared" ca="1" si="1"/>
        <v>0:0</v>
      </c>
      <c r="BQ87" s="200" t="str">
        <f>""</f>
        <v/>
      </c>
      <c r="BR87" s="200" t="str">
        <f>""</f>
        <v/>
      </c>
      <c r="BS87" s="200" t="str">
        <f>""</f>
        <v/>
      </c>
      <c r="BT87" s="200">
        <f ca="1">IF(A67=O70,A73,A67)</f>
        <v>14</v>
      </c>
    </row>
    <row r="88" spans="1:72" ht="6.75" customHeight="1" x14ac:dyDescent="0.2">
      <c r="A88" s="23"/>
      <c r="B88" s="3"/>
      <c r="C88" s="7"/>
      <c r="D88" s="7"/>
      <c r="E88" s="7"/>
      <c r="F88" s="7"/>
      <c r="G88" s="7"/>
      <c r="H88" s="7"/>
      <c r="I88" s="7"/>
      <c r="J88" s="7"/>
      <c r="K88" s="7"/>
      <c r="L88" s="7"/>
      <c r="O88" s="7"/>
      <c r="BM88" s="193">
        <v>16</v>
      </c>
      <c r="BN88" s="200" t="str">
        <f ca="1">IF($BF$42&lt;&gt;" ",VLOOKUP(LARGE(INDIRECT(VLOOKUP($A$5,'Start List'!$J$9:$Q$14,5,FALSE)),BO88),'Start List'!$B$15:$V$139,3,FALSE),"")</f>
        <v/>
      </c>
      <c r="BO88" s="200">
        <f t="shared" ca="1" si="4"/>
        <v>16</v>
      </c>
      <c r="BP88" s="202" t="str">
        <f t="shared" ca="1" si="1"/>
        <v>0:0</v>
      </c>
      <c r="BQ88" s="200" t="str">
        <f>""</f>
        <v/>
      </c>
      <c r="BR88" s="200" t="str">
        <f>""</f>
        <v/>
      </c>
      <c r="BS88" s="200" t="str">
        <f>""</f>
        <v/>
      </c>
      <c r="BT88" s="200">
        <f ca="1">IF(A77=O80,A83,A77)</f>
        <v>11</v>
      </c>
    </row>
    <row r="89" spans="1:72" ht="6.75" customHeight="1" x14ac:dyDescent="0.2">
      <c r="B89" s="3"/>
      <c r="C89" s="7"/>
      <c r="D89" s="7"/>
      <c r="E89" s="7"/>
      <c r="F89" s="7"/>
      <c r="G89" s="7"/>
      <c r="H89" s="7"/>
      <c r="I89" s="7"/>
      <c r="J89" s="7"/>
      <c r="K89" s="7"/>
      <c r="L89" s="7"/>
      <c r="O89" s="7"/>
    </row>
    <row r="90" spans="1:72" ht="6.75" customHeight="1" x14ac:dyDescent="0.2">
      <c r="B90" s="3"/>
      <c r="C90" s="7"/>
      <c r="D90" s="7"/>
      <c r="E90" s="7"/>
      <c r="F90" s="7"/>
      <c r="G90" s="7"/>
      <c r="H90" s="7"/>
      <c r="I90" s="7"/>
      <c r="J90" s="7"/>
      <c r="K90" s="7"/>
      <c r="L90" s="7"/>
      <c r="O90" s="7"/>
    </row>
    <row r="91" spans="1:72" ht="6.75" customHeight="1" x14ac:dyDescent="0.2">
      <c r="B91" s="3"/>
      <c r="C91" s="7"/>
      <c r="D91" s="7"/>
      <c r="E91" s="7"/>
      <c r="F91" s="7"/>
      <c r="G91" s="7"/>
      <c r="H91" s="7"/>
      <c r="I91" s="7"/>
      <c r="J91" s="7"/>
      <c r="K91" s="7"/>
      <c r="L91" s="7"/>
      <c r="O91" s="7"/>
    </row>
    <row r="92" spans="1:72" ht="6.75" customHeight="1" x14ac:dyDescent="0.2">
      <c r="B92" s="3"/>
      <c r="C92" s="7"/>
      <c r="D92" s="7"/>
      <c r="E92" s="7"/>
      <c r="F92" s="7"/>
      <c r="G92" s="7"/>
      <c r="H92" s="7"/>
      <c r="I92" s="7"/>
      <c r="J92" s="7"/>
      <c r="K92" s="7"/>
      <c r="L92" s="7"/>
      <c r="O92" s="7"/>
    </row>
    <row r="93" spans="1:72" ht="6.75" customHeight="1" x14ac:dyDescent="0.2">
      <c r="B93" s="3"/>
      <c r="C93" s="7"/>
      <c r="D93" s="7"/>
      <c r="E93" s="7"/>
      <c r="F93" s="7"/>
      <c r="G93" s="7"/>
      <c r="H93" s="7"/>
      <c r="I93" s="7"/>
      <c r="J93" s="7"/>
      <c r="K93" s="7"/>
      <c r="L93" s="7"/>
      <c r="O93" s="7"/>
    </row>
    <row r="94" spans="1:72" ht="6.75" customHeight="1" x14ac:dyDescent="0.2">
      <c r="B94" s="3"/>
      <c r="C94" s="7"/>
      <c r="D94" s="7"/>
      <c r="E94" s="7"/>
      <c r="F94" s="7"/>
      <c r="G94" s="7"/>
      <c r="H94" s="7"/>
      <c r="I94" s="7"/>
      <c r="J94" s="7"/>
      <c r="K94" s="7"/>
      <c r="L94" s="7"/>
      <c r="O94" s="7"/>
    </row>
    <row r="95" spans="1:72" ht="6.75" customHeight="1" x14ac:dyDescent="0.2">
      <c r="B95" s="3"/>
      <c r="C95" s="7"/>
      <c r="D95" s="7"/>
      <c r="E95" s="7"/>
      <c r="F95" s="7"/>
      <c r="G95" s="7"/>
      <c r="H95" s="7"/>
      <c r="I95" s="7"/>
      <c r="J95" s="7"/>
      <c r="K95" s="7"/>
      <c r="L95" s="7"/>
      <c r="O95" s="7"/>
    </row>
    <row r="96" spans="1:72" ht="6.75" customHeight="1" x14ac:dyDescent="0.2">
      <c r="B96" s="3"/>
      <c r="C96" s="7"/>
      <c r="D96" s="7"/>
      <c r="E96" s="7"/>
      <c r="F96" s="7"/>
      <c r="G96" s="7"/>
      <c r="H96" s="7"/>
      <c r="I96" s="7"/>
      <c r="J96" s="7"/>
      <c r="K96" s="7"/>
      <c r="L96" s="7"/>
      <c r="O96" s="7"/>
    </row>
    <row r="97" spans="2:15" ht="6.75" customHeight="1" x14ac:dyDescent="0.2">
      <c r="B97" s="3"/>
      <c r="C97" s="7"/>
      <c r="D97" s="7"/>
      <c r="E97" s="7"/>
      <c r="F97" s="7"/>
      <c r="G97" s="7"/>
      <c r="H97" s="7"/>
      <c r="I97" s="7"/>
      <c r="J97" s="7"/>
      <c r="K97" s="7"/>
      <c r="L97" s="7"/>
      <c r="O97" s="7"/>
    </row>
    <row r="98" spans="2:15" ht="6.75" customHeight="1" x14ac:dyDescent="0.2">
      <c r="B98" s="3"/>
      <c r="C98" s="7"/>
      <c r="D98" s="7"/>
      <c r="E98" s="7"/>
      <c r="F98" s="7"/>
      <c r="G98" s="7"/>
      <c r="H98" s="7"/>
      <c r="I98" s="7"/>
      <c r="J98" s="7"/>
      <c r="K98" s="7"/>
      <c r="L98" s="7"/>
      <c r="O98" s="7"/>
    </row>
    <row r="99" spans="2:15" ht="6.75" customHeight="1" x14ac:dyDescent="0.2">
      <c r="B99" s="3"/>
      <c r="C99" s="7"/>
      <c r="D99" s="7"/>
      <c r="E99" s="7"/>
      <c r="F99" s="7"/>
      <c r="G99" s="7"/>
      <c r="H99" s="7"/>
      <c r="I99" s="7"/>
      <c r="J99" s="7"/>
      <c r="K99" s="7"/>
      <c r="L99" s="7"/>
      <c r="O99" s="7"/>
    </row>
    <row r="100" spans="2:15" ht="6.75" customHeight="1" x14ac:dyDescent="0.2">
      <c r="B100" s="3"/>
      <c r="C100" s="7"/>
      <c r="D100" s="7"/>
      <c r="E100" s="7"/>
      <c r="F100" s="7"/>
      <c r="G100" s="7"/>
      <c r="H100" s="7"/>
      <c r="I100" s="7"/>
      <c r="J100" s="7"/>
      <c r="K100" s="7"/>
      <c r="L100" s="7"/>
      <c r="O100" s="7"/>
    </row>
    <row r="101" spans="2:15" ht="6.75" customHeight="1" x14ac:dyDescent="0.2">
      <c r="B101" s="3"/>
      <c r="C101" s="7"/>
      <c r="D101" s="7"/>
      <c r="E101" s="7"/>
      <c r="F101" s="7"/>
      <c r="G101" s="7"/>
      <c r="H101" s="7"/>
      <c r="I101" s="7"/>
      <c r="J101" s="7"/>
      <c r="K101" s="7"/>
      <c r="L101" s="7"/>
      <c r="O101" s="7"/>
    </row>
    <row r="102" spans="2:15" ht="6.75" customHeight="1" x14ac:dyDescent="0.2">
      <c r="B102" s="3"/>
      <c r="C102" s="7"/>
      <c r="D102" s="7"/>
      <c r="E102" s="7"/>
      <c r="F102" s="7"/>
      <c r="G102" s="7"/>
      <c r="H102" s="7"/>
      <c r="I102" s="7"/>
      <c r="J102" s="7"/>
      <c r="K102" s="7"/>
      <c r="L102" s="7"/>
      <c r="O102" s="7"/>
    </row>
    <row r="103" spans="2:15" ht="6.75" customHeight="1" x14ac:dyDescent="0.2">
      <c r="B103" s="3"/>
      <c r="C103" s="7"/>
      <c r="D103" s="7"/>
      <c r="E103" s="7"/>
      <c r="F103" s="7"/>
      <c r="G103" s="7"/>
      <c r="H103" s="7"/>
      <c r="I103" s="7"/>
      <c r="J103" s="7"/>
      <c r="K103" s="7"/>
      <c r="L103" s="7"/>
      <c r="O103" s="7"/>
    </row>
    <row r="104" spans="2:15" ht="6.75" customHeight="1" x14ac:dyDescent="0.2">
      <c r="B104" s="3"/>
      <c r="C104" s="7"/>
      <c r="D104" s="7"/>
      <c r="E104" s="7"/>
      <c r="F104" s="7"/>
      <c r="G104" s="7"/>
      <c r="H104" s="7"/>
      <c r="I104" s="7"/>
      <c r="J104" s="7"/>
      <c r="K104" s="7"/>
      <c r="L104" s="7"/>
      <c r="O104" s="7"/>
    </row>
    <row r="105" spans="2:15" ht="6.75" customHeight="1" x14ac:dyDescent="0.2">
      <c r="B105" s="3"/>
      <c r="C105" s="7"/>
      <c r="D105" s="7"/>
      <c r="E105" s="7"/>
      <c r="F105" s="7"/>
      <c r="G105" s="7"/>
      <c r="H105" s="7"/>
      <c r="I105" s="7"/>
      <c r="J105" s="7"/>
      <c r="K105" s="7"/>
      <c r="L105" s="7"/>
      <c r="O105" s="7"/>
    </row>
    <row r="106" spans="2:15" ht="6.75" customHeight="1" x14ac:dyDescent="0.2">
      <c r="B106" s="3"/>
      <c r="C106" s="7"/>
      <c r="D106" s="7"/>
      <c r="E106" s="7"/>
      <c r="F106" s="7"/>
      <c r="G106" s="7"/>
      <c r="H106" s="7"/>
      <c r="I106" s="7"/>
      <c r="J106" s="7"/>
      <c r="K106" s="7"/>
      <c r="L106" s="7"/>
      <c r="O106" s="7"/>
    </row>
    <row r="107" spans="2:15" ht="6.75" customHeight="1" x14ac:dyDescent="0.2">
      <c r="B107" s="3"/>
      <c r="C107" s="7"/>
      <c r="D107" s="7"/>
      <c r="E107" s="7"/>
      <c r="F107" s="7"/>
      <c r="G107" s="7"/>
      <c r="H107" s="7"/>
      <c r="I107" s="7"/>
      <c r="J107" s="7"/>
      <c r="K107" s="7"/>
      <c r="L107" s="7"/>
      <c r="O107" s="7"/>
    </row>
    <row r="108" spans="2:15" ht="6.75" customHeight="1" x14ac:dyDescent="0.2">
      <c r="B108" s="3"/>
      <c r="C108" s="7"/>
      <c r="D108" s="7"/>
      <c r="E108" s="7"/>
      <c r="F108" s="7"/>
      <c r="G108" s="7"/>
      <c r="H108" s="7"/>
      <c r="I108" s="7"/>
      <c r="J108" s="7"/>
      <c r="K108" s="7"/>
      <c r="L108" s="7"/>
      <c r="O108" s="7"/>
    </row>
    <row r="109" spans="2:15" ht="6.75" customHeight="1" x14ac:dyDescent="0.2">
      <c r="B109" s="3"/>
      <c r="C109" s="7"/>
      <c r="D109" s="7"/>
      <c r="E109" s="7"/>
      <c r="F109" s="7"/>
      <c r="G109" s="7"/>
      <c r="H109" s="7"/>
      <c r="I109" s="7"/>
      <c r="J109" s="7"/>
      <c r="K109" s="7"/>
      <c r="L109" s="7"/>
      <c r="O109" s="7"/>
    </row>
    <row r="110" spans="2:15" ht="6.75" customHeight="1" x14ac:dyDescent="0.2">
      <c r="B110" s="3"/>
      <c r="C110" s="7"/>
      <c r="D110" s="7"/>
      <c r="E110" s="7"/>
      <c r="F110" s="7"/>
      <c r="G110" s="7"/>
      <c r="H110" s="7"/>
      <c r="I110" s="7"/>
      <c r="J110" s="7"/>
      <c r="K110" s="7"/>
      <c r="L110" s="7"/>
      <c r="O110" s="7"/>
    </row>
    <row r="111" spans="2:15" ht="6.75" customHeight="1" x14ac:dyDescent="0.2">
      <c r="B111" s="3"/>
      <c r="C111" s="7"/>
      <c r="D111" s="7"/>
      <c r="E111" s="7"/>
      <c r="F111" s="7"/>
      <c r="G111" s="7"/>
      <c r="H111" s="7"/>
      <c r="I111" s="7"/>
      <c r="J111" s="7"/>
      <c r="K111" s="7"/>
      <c r="L111" s="7"/>
      <c r="O111" s="7"/>
    </row>
    <row r="112" spans="2:15" ht="6.75" customHeight="1" x14ac:dyDescent="0.2">
      <c r="B112" s="3"/>
      <c r="C112" s="7"/>
      <c r="D112" s="7"/>
      <c r="E112" s="7"/>
      <c r="F112" s="7"/>
      <c r="G112" s="7"/>
      <c r="H112" s="7"/>
      <c r="I112" s="7"/>
      <c r="J112" s="7"/>
      <c r="K112" s="7"/>
      <c r="L112" s="7"/>
      <c r="O112" s="7"/>
    </row>
    <row r="113" spans="2:15" ht="6.75" customHeight="1" x14ac:dyDescent="0.2">
      <c r="B113" s="3"/>
      <c r="C113" s="7"/>
      <c r="D113" s="7"/>
      <c r="E113" s="7"/>
      <c r="F113" s="7"/>
      <c r="G113" s="7"/>
      <c r="H113" s="7"/>
      <c r="I113" s="7"/>
      <c r="J113" s="7"/>
      <c r="K113" s="7"/>
      <c r="L113" s="7"/>
      <c r="O113" s="7"/>
    </row>
    <row r="114" spans="2:15" ht="6.75" customHeight="1" x14ac:dyDescent="0.2">
      <c r="B114" s="3"/>
      <c r="C114" s="7"/>
      <c r="D114" s="7"/>
      <c r="E114" s="7"/>
      <c r="F114" s="7"/>
      <c r="G114" s="7"/>
      <c r="H114" s="7"/>
      <c r="I114" s="7"/>
      <c r="J114" s="7"/>
      <c r="K114" s="7"/>
      <c r="L114" s="7"/>
      <c r="O114" s="7"/>
    </row>
    <row r="115" spans="2:15" ht="6.75" customHeight="1" x14ac:dyDescent="0.2">
      <c r="B115" s="3"/>
      <c r="C115" s="7"/>
      <c r="D115" s="7"/>
      <c r="E115" s="7"/>
      <c r="F115" s="7"/>
      <c r="G115" s="7"/>
      <c r="H115" s="7"/>
      <c r="I115" s="7"/>
      <c r="J115" s="7"/>
      <c r="K115" s="7"/>
      <c r="L115" s="7"/>
      <c r="O115" s="7"/>
    </row>
    <row r="116" spans="2:15" ht="6.75" customHeight="1" x14ac:dyDescent="0.2">
      <c r="B116" s="3"/>
      <c r="C116" s="7"/>
      <c r="D116" s="7"/>
      <c r="E116" s="7"/>
      <c r="F116" s="7"/>
      <c r="G116" s="7"/>
      <c r="H116" s="7"/>
      <c r="I116" s="7"/>
      <c r="J116" s="7"/>
      <c r="K116" s="7"/>
      <c r="L116" s="7"/>
      <c r="O116" s="7"/>
    </row>
    <row r="117" spans="2:15" ht="6.75" customHeight="1" x14ac:dyDescent="0.2">
      <c r="B117" s="3"/>
      <c r="C117" s="7"/>
      <c r="D117" s="7"/>
      <c r="E117" s="7"/>
      <c r="F117" s="7"/>
      <c r="G117" s="7"/>
      <c r="H117" s="7"/>
      <c r="I117" s="7"/>
      <c r="J117" s="7"/>
      <c r="K117" s="7"/>
      <c r="L117" s="7"/>
      <c r="O117" s="7"/>
    </row>
    <row r="118" spans="2:15" ht="6.75" customHeight="1" x14ac:dyDescent="0.2">
      <c r="B118" s="3"/>
      <c r="C118" s="7"/>
      <c r="D118" s="7"/>
      <c r="E118" s="7"/>
      <c r="F118" s="7"/>
      <c r="G118" s="7"/>
      <c r="H118" s="7"/>
      <c r="I118" s="7"/>
      <c r="J118" s="7"/>
      <c r="K118" s="7"/>
      <c r="L118" s="7"/>
      <c r="O118" s="7"/>
    </row>
    <row r="119" spans="2:15" ht="6.75" customHeight="1" x14ac:dyDescent="0.2">
      <c r="B119" s="3"/>
      <c r="C119" s="7"/>
      <c r="D119" s="7"/>
      <c r="E119" s="7"/>
      <c r="F119" s="7"/>
      <c r="G119" s="7"/>
      <c r="H119" s="7"/>
      <c r="I119" s="7"/>
      <c r="J119" s="7"/>
      <c r="K119" s="7"/>
      <c r="L119" s="7"/>
      <c r="O119" s="7"/>
    </row>
    <row r="120" spans="2:15" ht="6.75" customHeight="1" x14ac:dyDescent="0.2">
      <c r="B120" s="3"/>
      <c r="C120" s="7"/>
      <c r="D120" s="7"/>
      <c r="E120" s="7"/>
      <c r="F120" s="7"/>
      <c r="G120" s="7"/>
      <c r="H120" s="7"/>
      <c r="I120" s="7"/>
      <c r="J120" s="7"/>
      <c r="K120" s="7"/>
      <c r="L120" s="7"/>
      <c r="O120" s="7"/>
    </row>
    <row r="121" spans="2:15" ht="6.75" customHeight="1" x14ac:dyDescent="0.2">
      <c r="B121" s="3"/>
      <c r="C121" s="7"/>
      <c r="D121" s="7"/>
      <c r="E121" s="7"/>
      <c r="F121" s="7"/>
      <c r="G121" s="7"/>
      <c r="H121" s="7"/>
      <c r="I121" s="7"/>
      <c r="J121" s="7"/>
      <c r="K121" s="7"/>
      <c r="L121" s="7"/>
      <c r="O121" s="7"/>
    </row>
    <row r="122" spans="2:15" ht="6.75" customHeight="1" x14ac:dyDescent="0.2">
      <c r="B122" s="3"/>
      <c r="C122" s="7"/>
      <c r="D122" s="7"/>
      <c r="E122" s="7"/>
      <c r="F122" s="7"/>
      <c r="G122" s="7"/>
      <c r="H122" s="7"/>
      <c r="I122" s="7"/>
      <c r="J122" s="7"/>
      <c r="K122" s="7"/>
      <c r="L122" s="7"/>
      <c r="O122" s="7"/>
    </row>
    <row r="123" spans="2:15" ht="6.75" customHeight="1" x14ac:dyDescent="0.2">
      <c r="B123" s="3"/>
      <c r="C123" s="7"/>
      <c r="D123" s="7"/>
      <c r="E123" s="7"/>
      <c r="F123" s="7"/>
      <c r="G123" s="7"/>
      <c r="H123" s="7"/>
      <c r="I123" s="7"/>
      <c r="J123" s="7"/>
      <c r="K123" s="7"/>
      <c r="L123" s="7"/>
      <c r="O123" s="7"/>
    </row>
    <row r="124" spans="2:15" ht="6.75" customHeight="1" x14ac:dyDescent="0.2">
      <c r="B124" s="3"/>
      <c r="C124" s="7"/>
      <c r="D124" s="7"/>
      <c r="E124" s="7"/>
      <c r="F124" s="7"/>
      <c r="G124" s="7"/>
      <c r="H124" s="7"/>
      <c r="I124" s="7"/>
      <c r="J124" s="7"/>
      <c r="K124" s="7"/>
      <c r="L124" s="7"/>
      <c r="O124" s="7"/>
    </row>
    <row r="125" spans="2:15" ht="6.75" customHeight="1" x14ac:dyDescent="0.2">
      <c r="B125" s="3"/>
      <c r="C125" s="7"/>
      <c r="D125" s="7"/>
      <c r="E125" s="7"/>
      <c r="F125" s="7"/>
      <c r="G125" s="7"/>
      <c r="H125" s="7"/>
      <c r="I125" s="7"/>
      <c r="J125" s="7"/>
      <c r="K125" s="7"/>
      <c r="L125" s="7"/>
      <c r="O125" s="7"/>
    </row>
    <row r="126" spans="2:15" ht="6.75" customHeight="1" x14ac:dyDescent="0.2">
      <c r="B126" s="3"/>
      <c r="C126" s="7"/>
      <c r="D126" s="7"/>
      <c r="E126" s="7"/>
      <c r="F126" s="7"/>
      <c r="G126" s="7"/>
      <c r="H126" s="7"/>
      <c r="I126" s="7"/>
      <c r="J126" s="7"/>
      <c r="K126" s="7"/>
      <c r="L126" s="7"/>
      <c r="O126" s="7"/>
    </row>
    <row r="127" spans="2:15" ht="6.75" customHeight="1" x14ac:dyDescent="0.2">
      <c r="B127" s="3"/>
      <c r="C127" s="7"/>
      <c r="D127" s="7"/>
      <c r="E127" s="7"/>
      <c r="F127" s="7"/>
      <c r="G127" s="7"/>
      <c r="H127" s="7"/>
      <c r="I127" s="7"/>
      <c r="J127" s="7"/>
      <c r="K127" s="7"/>
      <c r="L127" s="7"/>
      <c r="O127" s="7"/>
    </row>
    <row r="128" spans="2:15" ht="6.75" customHeight="1" x14ac:dyDescent="0.2">
      <c r="B128" s="3"/>
      <c r="C128" s="7"/>
      <c r="D128" s="7"/>
      <c r="E128" s="7"/>
      <c r="F128" s="7"/>
      <c r="G128" s="7"/>
      <c r="H128" s="7"/>
      <c r="I128" s="7"/>
      <c r="J128" s="7"/>
      <c r="K128" s="7"/>
      <c r="L128" s="7"/>
      <c r="O128" s="7"/>
    </row>
    <row r="129" spans="2:15" ht="6.75" customHeight="1" x14ac:dyDescent="0.2">
      <c r="B129" s="3"/>
      <c r="C129" s="7"/>
      <c r="D129" s="7"/>
      <c r="E129" s="7"/>
      <c r="F129" s="7"/>
      <c r="G129" s="7"/>
      <c r="H129" s="7"/>
      <c r="I129" s="7"/>
      <c r="J129" s="7"/>
      <c r="K129" s="7"/>
      <c r="L129" s="7"/>
      <c r="O129" s="7"/>
    </row>
    <row r="130" spans="2:15" ht="6.75" customHeight="1" x14ac:dyDescent="0.2">
      <c r="B130" s="3"/>
      <c r="C130" s="7"/>
      <c r="D130" s="7"/>
      <c r="E130" s="7"/>
      <c r="F130" s="7"/>
      <c r="G130" s="7"/>
      <c r="H130" s="7"/>
      <c r="I130" s="7"/>
      <c r="J130" s="7"/>
      <c r="K130" s="7"/>
      <c r="L130" s="7"/>
      <c r="O130" s="7"/>
    </row>
    <row r="131" spans="2:15" ht="6.75" customHeight="1" x14ac:dyDescent="0.2">
      <c r="B131" s="3"/>
      <c r="C131" s="7"/>
      <c r="D131" s="7"/>
      <c r="E131" s="7"/>
      <c r="F131" s="7"/>
      <c r="G131" s="7"/>
      <c r="H131" s="7"/>
      <c r="I131" s="7"/>
      <c r="J131" s="7"/>
      <c r="K131" s="7"/>
      <c r="L131" s="7"/>
      <c r="O131" s="7"/>
    </row>
    <row r="132" spans="2:15" ht="6.75" customHeight="1" x14ac:dyDescent="0.2">
      <c r="B132" s="3"/>
      <c r="C132" s="7"/>
      <c r="D132" s="7"/>
      <c r="E132" s="7"/>
      <c r="F132" s="7"/>
      <c r="G132" s="7"/>
      <c r="H132" s="7"/>
      <c r="I132" s="7"/>
      <c r="J132" s="7"/>
      <c r="K132" s="7"/>
      <c r="L132" s="7"/>
      <c r="O132" s="7"/>
    </row>
    <row r="133" spans="2:15" ht="6.75" customHeight="1" x14ac:dyDescent="0.2">
      <c r="B133" s="3"/>
      <c r="C133" s="7"/>
      <c r="D133" s="7"/>
      <c r="E133" s="7"/>
      <c r="F133" s="7"/>
      <c r="G133" s="7"/>
      <c r="H133" s="7"/>
      <c r="I133" s="7"/>
      <c r="J133" s="7"/>
      <c r="K133" s="7"/>
      <c r="L133" s="7"/>
      <c r="O133" s="7"/>
    </row>
    <row r="134" spans="2:15" ht="6.75" customHeight="1" x14ac:dyDescent="0.2">
      <c r="B134" s="3"/>
      <c r="C134" s="7"/>
      <c r="D134" s="7"/>
      <c r="E134" s="7"/>
      <c r="F134" s="7"/>
      <c r="G134" s="7"/>
      <c r="H134" s="7"/>
      <c r="I134" s="7"/>
      <c r="J134" s="7"/>
      <c r="K134" s="7"/>
      <c r="L134" s="7"/>
      <c r="O134" s="7"/>
    </row>
    <row r="135" spans="2:15" ht="6.75" customHeight="1" x14ac:dyDescent="0.2">
      <c r="B135" s="3"/>
      <c r="C135" s="7"/>
      <c r="D135" s="7"/>
      <c r="E135" s="7"/>
      <c r="F135" s="7"/>
      <c r="G135" s="7"/>
      <c r="H135" s="7"/>
      <c r="I135" s="7"/>
      <c r="J135" s="7"/>
      <c r="K135" s="7"/>
      <c r="L135" s="7"/>
      <c r="O135" s="7"/>
    </row>
    <row r="136" spans="2:15" ht="6.75" customHeight="1" x14ac:dyDescent="0.2">
      <c r="B136" s="3"/>
      <c r="C136" s="7"/>
      <c r="D136" s="7"/>
      <c r="E136" s="7"/>
      <c r="F136" s="7"/>
      <c r="G136" s="7"/>
      <c r="H136" s="7"/>
      <c r="I136" s="7"/>
      <c r="J136" s="7"/>
      <c r="K136" s="7"/>
      <c r="L136" s="7"/>
      <c r="O136" s="7"/>
    </row>
    <row r="137" spans="2:15" ht="6.75" customHeight="1" x14ac:dyDescent="0.2">
      <c r="B137" s="3"/>
      <c r="C137" s="7"/>
      <c r="D137" s="7"/>
      <c r="E137" s="7"/>
      <c r="F137" s="7"/>
      <c r="G137" s="7"/>
      <c r="H137" s="7"/>
      <c r="I137" s="7"/>
      <c r="J137" s="7"/>
      <c r="K137" s="7"/>
      <c r="L137" s="7"/>
      <c r="O137" s="7"/>
    </row>
    <row r="138" spans="2:15" ht="6.75" customHeight="1" x14ac:dyDescent="0.2">
      <c r="B138" s="3"/>
      <c r="C138" s="7"/>
      <c r="D138" s="7"/>
      <c r="E138" s="7"/>
      <c r="F138" s="7"/>
      <c r="G138" s="7"/>
      <c r="H138" s="7"/>
      <c r="I138" s="7"/>
      <c r="J138" s="7"/>
      <c r="K138" s="7"/>
      <c r="L138" s="7"/>
      <c r="O138" s="7"/>
    </row>
    <row r="139" spans="2:15" ht="6.75" customHeight="1" x14ac:dyDescent="0.2">
      <c r="B139" s="3"/>
      <c r="C139" s="7"/>
      <c r="D139" s="7"/>
      <c r="E139" s="7"/>
      <c r="F139" s="7"/>
      <c r="G139" s="7"/>
      <c r="H139" s="7"/>
      <c r="I139" s="7"/>
      <c r="J139" s="7"/>
      <c r="K139" s="7"/>
      <c r="L139" s="7"/>
      <c r="O139" s="7"/>
    </row>
    <row r="140" spans="2:15" ht="6.75" customHeight="1" x14ac:dyDescent="0.2">
      <c r="B140" s="3"/>
      <c r="C140" s="7"/>
      <c r="D140" s="7"/>
      <c r="E140" s="7"/>
      <c r="F140" s="7"/>
      <c r="G140" s="7"/>
      <c r="H140" s="7"/>
      <c r="I140" s="7"/>
      <c r="J140" s="7"/>
      <c r="K140" s="7"/>
      <c r="L140" s="7"/>
      <c r="O140" s="7"/>
    </row>
    <row r="141" spans="2:15" ht="6.75" customHeight="1" x14ac:dyDescent="0.2">
      <c r="B141" s="3"/>
      <c r="C141" s="7"/>
      <c r="D141" s="7"/>
      <c r="E141" s="7"/>
      <c r="F141" s="7"/>
      <c r="G141" s="7"/>
      <c r="H141" s="7"/>
      <c r="I141" s="7"/>
      <c r="J141" s="7"/>
      <c r="K141" s="7"/>
      <c r="L141" s="7"/>
      <c r="O141" s="7"/>
    </row>
    <row r="142" spans="2:15" ht="6.75" customHeight="1" x14ac:dyDescent="0.2">
      <c r="B142" s="3"/>
      <c r="C142" s="7"/>
      <c r="D142" s="7"/>
      <c r="E142" s="7"/>
      <c r="F142" s="7"/>
      <c r="G142" s="7"/>
      <c r="H142" s="7"/>
      <c r="I142" s="7"/>
      <c r="J142" s="7"/>
      <c r="K142" s="7"/>
      <c r="L142" s="7"/>
      <c r="O142" s="7"/>
    </row>
    <row r="143" spans="2:15" ht="6.75" customHeight="1" x14ac:dyDescent="0.2">
      <c r="B143" s="3"/>
      <c r="C143" s="7"/>
      <c r="D143" s="7"/>
      <c r="E143" s="7"/>
      <c r="F143" s="7"/>
      <c r="G143" s="7"/>
      <c r="H143" s="7"/>
      <c r="I143" s="7"/>
      <c r="J143" s="7"/>
      <c r="K143" s="7"/>
      <c r="L143" s="7"/>
      <c r="O143" s="7"/>
    </row>
    <row r="144" spans="2:15" ht="6.75" customHeight="1" x14ac:dyDescent="0.2">
      <c r="B144" s="3"/>
      <c r="C144" s="7"/>
      <c r="D144" s="7"/>
      <c r="E144" s="7"/>
      <c r="F144" s="7"/>
      <c r="G144" s="7"/>
      <c r="H144" s="7"/>
      <c r="I144" s="7"/>
      <c r="J144" s="7"/>
      <c r="K144" s="7"/>
      <c r="L144" s="7"/>
      <c r="O144" s="7"/>
    </row>
    <row r="145" spans="2:15" ht="6.75" customHeight="1" x14ac:dyDescent="0.2">
      <c r="B145" s="3"/>
      <c r="C145" s="7"/>
      <c r="D145" s="7"/>
      <c r="E145" s="7"/>
      <c r="F145" s="7"/>
      <c r="G145" s="7"/>
      <c r="H145" s="7"/>
      <c r="I145" s="7"/>
      <c r="J145" s="7"/>
      <c r="K145" s="7"/>
      <c r="L145" s="7"/>
      <c r="O145" s="7"/>
    </row>
    <row r="146" spans="2:15" ht="6.75" customHeight="1" x14ac:dyDescent="0.2">
      <c r="B146" s="3"/>
      <c r="C146" s="7"/>
      <c r="D146" s="7"/>
      <c r="E146" s="7"/>
      <c r="F146" s="7"/>
      <c r="G146" s="7"/>
      <c r="H146" s="7"/>
      <c r="I146" s="7"/>
      <c r="J146" s="7"/>
      <c r="K146" s="7"/>
      <c r="L146" s="7"/>
      <c r="O146" s="7"/>
    </row>
    <row r="147" spans="2:15" ht="6.75" customHeight="1" x14ac:dyDescent="0.2">
      <c r="B147" s="3"/>
      <c r="C147" s="7"/>
      <c r="D147" s="7"/>
      <c r="E147" s="7"/>
      <c r="F147" s="7"/>
      <c r="G147" s="7"/>
      <c r="H147" s="7"/>
      <c r="I147" s="7"/>
      <c r="J147" s="7"/>
      <c r="K147" s="7"/>
      <c r="L147" s="7"/>
      <c r="O147" s="7"/>
    </row>
    <row r="148" spans="2:15" ht="6.75" customHeight="1" x14ac:dyDescent="0.2">
      <c r="B148" s="3"/>
      <c r="C148" s="7"/>
      <c r="D148" s="7"/>
      <c r="E148" s="7"/>
      <c r="F148" s="7"/>
      <c r="G148" s="7"/>
      <c r="H148" s="7"/>
      <c r="I148" s="7"/>
      <c r="J148" s="7"/>
      <c r="K148" s="7"/>
      <c r="L148" s="7"/>
      <c r="O148" s="7"/>
    </row>
    <row r="149" spans="2:15" ht="6.75" customHeight="1" x14ac:dyDescent="0.2">
      <c r="B149" s="3"/>
      <c r="C149" s="7"/>
      <c r="D149" s="7"/>
      <c r="E149" s="7"/>
      <c r="F149" s="7"/>
      <c r="G149" s="7"/>
      <c r="H149" s="7"/>
      <c r="I149" s="7"/>
      <c r="J149" s="7"/>
      <c r="K149" s="7"/>
      <c r="L149" s="7"/>
      <c r="O149" s="7"/>
    </row>
    <row r="150" spans="2:15" ht="6.75" customHeight="1" x14ac:dyDescent="0.2">
      <c r="B150" s="3"/>
      <c r="C150" s="7"/>
      <c r="D150" s="7"/>
      <c r="E150" s="7"/>
      <c r="F150" s="7"/>
      <c r="G150" s="7"/>
      <c r="H150" s="7"/>
      <c r="I150" s="7"/>
      <c r="J150" s="7"/>
      <c r="K150" s="7"/>
      <c r="L150" s="7"/>
      <c r="O150" s="7"/>
    </row>
    <row r="151" spans="2:15" ht="6.75" customHeight="1" x14ac:dyDescent="0.2">
      <c r="B151" s="3"/>
      <c r="C151" s="7"/>
      <c r="D151" s="7"/>
      <c r="E151" s="7"/>
      <c r="F151" s="7"/>
      <c r="G151" s="7"/>
      <c r="H151" s="7"/>
      <c r="I151" s="7"/>
      <c r="J151" s="7"/>
      <c r="K151" s="7"/>
      <c r="L151" s="7"/>
      <c r="O151" s="7"/>
    </row>
    <row r="152" spans="2:15" ht="6.75" customHeight="1" x14ac:dyDescent="0.2">
      <c r="B152" s="3"/>
      <c r="C152" s="7"/>
      <c r="D152" s="7"/>
      <c r="E152" s="7"/>
      <c r="F152" s="7"/>
      <c r="G152" s="7"/>
      <c r="H152" s="7"/>
      <c r="I152" s="7"/>
      <c r="J152" s="7"/>
      <c r="K152" s="7"/>
      <c r="L152" s="7"/>
      <c r="O152" s="7"/>
    </row>
    <row r="153" spans="2:15" ht="6.75" customHeight="1" x14ac:dyDescent="0.2">
      <c r="B153" s="3"/>
      <c r="C153" s="7"/>
      <c r="D153" s="7"/>
      <c r="E153" s="7"/>
      <c r="F153" s="7"/>
      <c r="G153" s="7"/>
      <c r="H153" s="7"/>
      <c r="I153" s="7"/>
      <c r="J153" s="7"/>
      <c r="K153" s="7"/>
      <c r="L153" s="7"/>
      <c r="O153" s="7"/>
    </row>
    <row r="154" spans="2:15" ht="6.75" customHeight="1" x14ac:dyDescent="0.2">
      <c r="B154" s="3"/>
      <c r="C154" s="7"/>
      <c r="D154" s="7"/>
      <c r="E154" s="7"/>
      <c r="F154" s="7"/>
      <c r="G154" s="7"/>
      <c r="H154" s="7"/>
      <c r="I154" s="7"/>
      <c r="J154" s="7"/>
      <c r="K154" s="7"/>
      <c r="L154" s="7"/>
      <c r="O154" s="7"/>
    </row>
    <row r="155" spans="2:15" ht="6.75" customHeight="1" x14ac:dyDescent="0.2">
      <c r="B155" s="3"/>
      <c r="C155" s="7"/>
      <c r="D155" s="7"/>
      <c r="E155" s="7"/>
      <c r="F155" s="7"/>
      <c r="G155" s="7"/>
      <c r="H155" s="7"/>
      <c r="I155" s="7"/>
      <c r="J155" s="7"/>
      <c r="K155" s="7"/>
      <c r="L155" s="7"/>
      <c r="O155" s="7"/>
    </row>
    <row r="156" spans="2:15" ht="6.75" customHeight="1" x14ac:dyDescent="0.2">
      <c r="B156" s="3"/>
      <c r="C156" s="7"/>
      <c r="D156" s="7"/>
      <c r="E156" s="7"/>
      <c r="F156" s="7"/>
      <c r="G156" s="7"/>
      <c r="H156" s="7"/>
      <c r="I156" s="7"/>
      <c r="J156" s="7"/>
      <c r="K156" s="7"/>
      <c r="L156" s="7"/>
      <c r="O156" s="7"/>
    </row>
    <row r="157" spans="2:15" ht="6.75" customHeight="1" x14ac:dyDescent="0.2">
      <c r="B157" s="3"/>
      <c r="C157" s="7"/>
      <c r="D157" s="7"/>
      <c r="E157" s="7"/>
      <c r="F157" s="7"/>
      <c r="G157" s="7"/>
      <c r="H157" s="7"/>
      <c r="I157" s="7"/>
      <c r="J157" s="7"/>
      <c r="K157" s="7"/>
      <c r="L157" s="7"/>
      <c r="O157" s="7"/>
    </row>
    <row r="158" spans="2:15" ht="6.75" customHeight="1" x14ac:dyDescent="0.2">
      <c r="B158" s="3"/>
      <c r="C158" s="7"/>
      <c r="D158" s="7"/>
      <c r="E158" s="7"/>
      <c r="F158" s="7"/>
      <c r="G158" s="7"/>
      <c r="H158" s="7"/>
      <c r="I158" s="7"/>
      <c r="J158" s="7"/>
      <c r="K158" s="7"/>
      <c r="L158" s="7"/>
      <c r="O158" s="7"/>
    </row>
    <row r="159" spans="2:15" ht="6.75" customHeight="1" x14ac:dyDescent="0.2">
      <c r="B159" s="3"/>
      <c r="C159" s="7"/>
      <c r="D159" s="7"/>
      <c r="E159" s="7"/>
      <c r="F159" s="7"/>
      <c r="G159" s="7"/>
      <c r="H159" s="7"/>
      <c r="I159" s="7"/>
      <c r="J159" s="7"/>
      <c r="K159" s="7"/>
      <c r="L159" s="7"/>
      <c r="O159" s="7"/>
    </row>
    <row r="160" spans="2:15" ht="6.75" customHeight="1" x14ac:dyDescent="0.2">
      <c r="B160" s="3"/>
      <c r="C160" s="7"/>
      <c r="D160" s="7"/>
      <c r="E160" s="7"/>
      <c r="F160" s="7"/>
      <c r="G160" s="7"/>
      <c r="H160" s="7"/>
      <c r="I160" s="7"/>
      <c r="J160" s="7"/>
      <c r="K160" s="7"/>
      <c r="L160" s="7"/>
      <c r="O160" s="7"/>
    </row>
    <row r="161" spans="2:15" ht="6.75" customHeight="1" x14ac:dyDescent="0.2">
      <c r="B161" s="3"/>
      <c r="C161" s="7"/>
      <c r="D161" s="7"/>
      <c r="E161" s="7"/>
      <c r="F161" s="7"/>
      <c r="G161" s="7"/>
      <c r="H161" s="7"/>
      <c r="I161" s="7"/>
      <c r="J161" s="7"/>
      <c r="K161" s="7"/>
      <c r="L161" s="7"/>
      <c r="O161" s="7"/>
    </row>
    <row r="162" spans="2:15" ht="6.75" customHeight="1" x14ac:dyDescent="0.2">
      <c r="B162" s="3"/>
      <c r="C162" s="7"/>
      <c r="D162" s="7"/>
      <c r="E162" s="7"/>
      <c r="F162" s="7"/>
      <c r="G162" s="7"/>
      <c r="H162" s="7"/>
      <c r="I162" s="7"/>
      <c r="J162" s="7"/>
      <c r="K162" s="7"/>
      <c r="L162" s="7"/>
      <c r="O162" s="7"/>
    </row>
    <row r="163" spans="2:15" ht="6.75" customHeight="1" x14ac:dyDescent="0.2">
      <c r="B163" s="3"/>
      <c r="C163" s="7"/>
      <c r="D163" s="7"/>
      <c r="E163" s="7"/>
      <c r="F163" s="7"/>
      <c r="G163" s="7"/>
      <c r="H163" s="7"/>
      <c r="I163" s="7"/>
      <c r="J163" s="7"/>
      <c r="K163" s="7"/>
      <c r="L163" s="7"/>
      <c r="O163" s="7"/>
    </row>
  </sheetData>
  <sheetProtection password="DE3F" sheet="1" objects="1" scenarios="1" selectLockedCells="1"/>
  <mergeCells count="510">
    <mergeCell ref="A1:BK1"/>
    <mergeCell ref="A2:BK2"/>
    <mergeCell ref="A3:BK3"/>
    <mergeCell ref="A4:BK4"/>
    <mergeCell ref="A5:BK5"/>
    <mergeCell ref="A7:A8"/>
    <mergeCell ref="B7:K8"/>
    <mergeCell ref="L7:L8"/>
    <mergeCell ref="Z10:Z11"/>
    <mergeCell ref="A11:A12"/>
    <mergeCell ref="B11:B12"/>
    <mergeCell ref="C11:C12"/>
    <mergeCell ref="D11:D12"/>
    <mergeCell ref="E11:E12"/>
    <mergeCell ref="F11:F12"/>
    <mergeCell ref="G11:G12"/>
    <mergeCell ref="G9:G10"/>
    <mergeCell ref="H9:H10"/>
    <mergeCell ref="I9:I10"/>
    <mergeCell ref="J9:J10"/>
    <mergeCell ref="K9:K10"/>
    <mergeCell ref="L9:L10"/>
    <mergeCell ref="A9:A10"/>
    <mergeCell ref="B9:B10"/>
    <mergeCell ref="A13:A14"/>
    <mergeCell ref="B13:K14"/>
    <mergeCell ref="L13:L14"/>
    <mergeCell ref="O10:O11"/>
    <mergeCell ref="P10:Y11"/>
    <mergeCell ref="A17:A18"/>
    <mergeCell ref="B17:K18"/>
    <mergeCell ref="L17:L18"/>
    <mergeCell ref="AC15:AC16"/>
    <mergeCell ref="C9:C10"/>
    <mergeCell ref="D9:D10"/>
    <mergeCell ref="E9:E10"/>
    <mergeCell ref="F9:F10"/>
    <mergeCell ref="S14:S15"/>
    <mergeCell ref="T14:T15"/>
    <mergeCell ref="H11:H12"/>
    <mergeCell ref="I11:I12"/>
    <mergeCell ref="J11:J12"/>
    <mergeCell ref="K11:K12"/>
    <mergeCell ref="L11:L12"/>
    <mergeCell ref="AD15:AM16"/>
    <mergeCell ref="AN15:AN16"/>
    <mergeCell ref="O16:O17"/>
    <mergeCell ref="P16:P17"/>
    <mergeCell ref="Q16:Q17"/>
    <mergeCell ref="R16:R17"/>
    <mergeCell ref="S16:S17"/>
    <mergeCell ref="T16:T17"/>
    <mergeCell ref="U16:U17"/>
    <mergeCell ref="U14:U15"/>
    <mergeCell ref="V14:V15"/>
    <mergeCell ref="W14:W15"/>
    <mergeCell ref="X14:X15"/>
    <mergeCell ref="Y14:Y15"/>
    <mergeCell ref="Z14:Z15"/>
    <mergeCell ref="O14:O15"/>
    <mergeCell ref="P14:P15"/>
    <mergeCell ref="Q14:Q15"/>
    <mergeCell ref="R14:R15"/>
    <mergeCell ref="AQ17:BB18"/>
    <mergeCell ref="A19:A20"/>
    <mergeCell ref="B19:B20"/>
    <mergeCell ref="C19:C20"/>
    <mergeCell ref="D19:D20"/>
    <mergeCell ref="E19:E20"/>
    <mergeCell ref="F19:F20"/>
    <mergeCell ref="G19:G20"/>
    <mergeCell ref="H19:H20"/>
    <mergeCell ref="I19:I20"/>
    <mergeCell ref="V16:V17"/>
    <mergeCell ref="W16:W17"/>
    <mergeCell ref="X16:X17"/>
    <mergeCell ref="Y16:Y17"/>
    <mergeCell ref="Z16:Z17"/>
    <mergeCell ref="AQ20:AQ21"/>
    <mergeCell ref="AR20:BA21"/>
    <mergeCell ref="BB20:BB21"/>
    <mergeCell ref="A21:A22"/>
    <mergeCell ref="B21:B22"/>
    <mergeCell ref="C21:C22"/>
    <mergeCell ref="D21:D22"/>
    <mergeCell ref="E21:E22"/>
    <mergeCell ref="F21:F22"/>
    <mergeCell ref="G21:G22"/>
    <mergeCell ref="J19:J20"/>
    <mergeCell ref="K19:K20"/>
    <mergeCell ref="L19:L20"/>
    <mergeCell ref="O20:O21"/>
    <mergeCell ref="P20:Y21"/>
    <mergeCell ref="Z20:Z21"/>
    <mergeCell ref="H21:H22"/>
    <mergeCell ref="I21:I22"/>
    <mergeCell ref="J21:J22"/>
    <mergeCell ref="K21:K22"/>
    <mergeCell ref="L21:L22"/>
    <mergeCell ref="A23:A24"/>
    <mergeCell ref="B23:K24"/>
    <mergeCell ref="L23:L24"/>
    <mergeCell ref="AK24:AK25"/>
    <mergeCell ref="AL24:AL25"/>
    <mergeCell ref="AM24:AM25"/>
    <mergeCell ref="AN24:AN25"/>
    <mergeCell ref="AC24:AC25"/>
    <mergeCell ref="AD24:AD25"/>
    <mergeCell ref="AE24:AE25"/>
    <mergeCell ref="AF24:AF25"/>
    <mergeCell ref="AG24:AG25"/>
    <mergeCell ref="AH24:AH25"/>
    <mergeCell ref="BE25:BE26"/>
    <mergeCell ref="BF25:BJ26"/>
    <mergeCell ref="BK25:BK26"/>
    <mergeCell ref="AC26:AC27"/>
    <mergeCell ref="AD26:AD27"/>
    <mergeCell ref="AE26:AE27"/>
    <mergeCell ref="AF26:AF27"/>
    <mergeCell ref="AG26:AG27"/>
    <mergeCell ref="AH26:AH27"/>
    <mergeCell ref="AI26:AI27"/>
    <mergeCell ref="AW24:AW25"/>
    <mergeCell ref="AX24:AX25"/>
    <mergeCell ref="AY24:AY25"/>
    <mergeCell ref="AZ24:AZ25"/>
    <mergeCell ref="BA24:BA25"/>
    <mergeCell ref="BB24:BB25"/>
    <mergeCell ref="AQ24:AQ25"/>
    <mergeCell ref="AR24:AR25"/>
    <mergeCell ref="AS24:AS25"/>
    <mergeCell ref="AT24:AT25"/>
    <mergeCell ref="AU24:AU25"/>
    <mergeCell ref="AV24:AV25"/>
    <mergeCell ref="AI24:AI25"/>
    <mergeCell ref="AJ24:AJ25"/>
    <mergeCell ref="E29:E30"/>
    <mergeCell ref="F29:F30"/>
    <mergeCell ref="AX26:AX27"/>
    <mergeCell ref="AY26:AY27"/>
    <mergeCell ref="AZ26:AZ27"/>
    <mergeCell ref="BA26:BA27"/>
    <mergeCell ref="BB26:BB27"/>
    <mergeCell ref="A27:A28"/>
    <mergeCell ref="B27:K28"/>
    <mergeCell ref="L27:L28"/>
    <mergeCell ref="AR26:AR27"/>
    <mergeCell ref="AS26:AS27"/>
    <mergeCell ref="AT26:AT27"/>
    <mergeCell ref="AU26:AU27"/>
    <mergeCell ref="AV26:AV27"/>
    <mergeCell ref="AW26:AW27"/>
    <mergeCell ref="AJ26:AJ27"/>
    <mergeCell ref="AK26:AK27"/>
    <mergeCell ref="AL26:AL27"/>
    <mergeCell ref="AM26:AM27"/>
    <mergeCell ref="AN26:AN27"/>
    <mergeCell ref="AQ26:AQ27"/>
    <mergeCell ref="Z30:Z31"/>
    <mergeCell ref="AQ30:AQ31"/>
    <mergeCell ref="AR30:BA31"/>
    <mergeCell ref="BB30:BB31"/>
    <mergeCell ref="G29:G30"/>
    <mergeCell ref="H29:H30"/>
    <mergeCell ref="I29:I30"/>
    <mergeCell ref="J29:J30"/>
    <mergeCell ref="K29:K30"/>
    <mergeCell ref="L29:L30"/>
    <mergeCell ref="V34:V35"/>
    <mergeCell ref="AN35:AN36"/>
    <mergeCell ref="O36:O37"/>
    <mergeCell ref="P36:P37"/>
    <mergeCell ref="Q36:Q37"/>
    <mergeCell ref="R36:R37"/>
    <mergeCell ref="S36:S37"/>
    <mergeCell ref="T36:T37"/>
    <mergeCell ref="U36:U37"/>
    <mergeCell ref="V36:V37"/>
    <mergeCell ref="W36:W37"/>
    <mergeCell ref="X34:X35"/>
    <mergeCell ref="Y34:Y35"/>
    <mergeCell ref="Z34:Z35"/>
    <mergeCell ref="AC35:AC36"/>
    <mergeCell ref="AD35:AM36"/>
    <mergeCell ref="A33:A34"/>
    <mergeCell ref="B33:K34"/>
    <mergeCell ref="L33:L34"/>
    <mergeCell ref="O34:O35"/>
    <mergeCell ref="P34:P35"/>
    <mergeCell ref="G31:G32"/>
    <mergeCell ref="H31:H32"/>
    <mergeCell ref="I31:I32"/>
    <mergeCell ref="J31:J32"/>
    <mergeCell ref="K31:K32"/>
    <mergeCell ref="L31:L32"/>
    <mergeCell ref="A31:A32"/>
    <mergeCell ref="B31:B32"/>
    <mergeCell ref="C31:C32"/>
    <mergeCell ref="D31:D32"/>
    <mergeCell ref="E31:E32"/>
    <mergeCell ref="F31:F32"/>
    <mergeCell ref="O30:O31"/>
    <mergeCell ref="P30:Y31"/>
    <mergeCell ref="A29:A30"/>
    <mergeCell ref="B29:B30"/>
    <mergeCell ref="C29:C30"/>
    <mergeCell ref="D29:D30"/>
    <mergeCell ref="W34:W35"/>
    <mergeCell ref="X36:X37"/>
    <mergeCell ref="Y36:Y37"/>
    <mergeCell ref="Z36:Z37"/>
    <mergeCell ref="Q34:Q35"/>
    <mergeCell ref="R34:R35"/>
    <mergeCell ref="S34:S35"/>
    <mergeCell ref="T34:T35"/>
    <mergeCell ref="U34:U35"/>
    <mergeCell ref="F41:F42"/>
    <mergeCell ref="G39:G40"/>
    <mergeCell ref="H39:H40"/>
    <mergeCell ref="I39:I40"/>
    <mergeCell ref="J39:J40"/>
    <mergeCell ref="K39:K40"/>
    <mergeCell ref="L39:L40"/>
    <mergeCell ref="A37:A38"/>
    <mergeCell ref="B37:K38"/>
    <mergeCell ref="L37:L38"/>
    <mergeCell ref="A39:A40"/>
    <mergeCell ref="B39:B40"/>
    <mergeCell ref="C39:C40"/>
    <mergeCell ref="D39:D40"/>
    <mergeCell ref="E39:E40"/>
    <mergeCell ref="F39:F40"/>
    <mergeCell ref="BE42:BE43"/>
    <mergeCell ref="BF42:BJ43"/>
    <mergeCell ref="BK42:BK43"/>
    <mergeCell ref="A43:A44"/>
    <mergeCell ref="B43:K44"/>
    <mergeCell ref="L43:L44"/>
    <mergeCell ref="BE44:BE45"/>
    <mergeCell ref="BF44:BJ45"/>
    <mergeCell ref="BK44:BK45"/>
    <mergeCell ref="G41:G42"/>
    <mergeCell ref="H41:H42"/>
    <mergeCell ref="I41:I42"/>
    <mergeCell ref="J41:J42"/>
    <mergeCell ref="K41:K42"/>
    <mergeCell ref="L41:L42"/>
    <mergeCell ref="O40:O41"/>
    <mergeCell ref="P40:Y41"/>
    <mergeCell ref="Z40:Z41"/>
    <mergeCell ref="BE40:BK41"/>
    <mergeCell ref="A41:A42"/>
    <mergeCell ref="B41:B42"/>
    <mergeCell ref="C41:C42"/>
    <mergeCell ref="D41:D42"/>
    <mergeCell ref="E41:E42"/>
    <mergeCell ref="BE46:BE47"/>
    <mergeCell ref="BF46:BJ47"/>
    <mergeCell ref="BK46:BK47"/>
    <mergeCell ref="A47:A48"/>
    <mergeCell ref="B47:K48"/>
    <mergeCell ref="L47:L48"/>
    <mergeCell ref="BE48:BE49"/>
    <mergeCell ref="BF48:BJ49"/>
    <mergeCell ref="BK48:BK49"/>
    <mergeCell ref="Z50:Z51"/>
    <mergeCell ref="A51:A52"/>
    <mergeCell ref="B51:B52"/>
    <mergeCell ref="C51:C52"/>
    <mergeCell ref="D51:D52"/>
    <mergeCell ref="E51:E52"/>
    <mergeCell ref="F51:F52"/>
    <mergeCell ref="G51:G52"/>
    <mergeCell ref="G49:G50"/>
    <mergeCell ref="H49:H50"/>
    <mergeCell ref="I49:I50"/>
    <mergeCell ref="J49:J50"/>
    <mergeCell ref="K49:K50"/>
    <mergeCell ref="L49:L50"/>
    <mergeCell ref="A49:A50"/>
    <mergeCell ref="B49:B50"/>
    <mergeCell ref="C49:C50"/>
    <mergeCell ref="D49:D50"/>
    <mergeCell ref="E49:E50"/>
    <mergeCell ref="F49:F50"/>
    <mergeCell ref="T54:T55"/>
    <mergeCell ref="H51:H52"/>
    <mergeCell ref="I51:I52"/>
    <mergeCell ref="J51:J52"/>
    <mergeCell ref="K51:K52"/>
    <mergeCell ref="L51:L52"/>
    <mergeCell ref="A53:A54"/>
    <mergeCell ref="B53:K54"/>
    <mergeCell ref="L53:L54"/>
    <mergeCell ref="O50:O51"/>
    <mergeCell ref="P50:Y51"/>
    <mergeCell ref="A57:A58"/>
    <mergeCell ref="B57:K58"/>
    <mergeCell ref="L57:L58"/>
    <mergeCell ref="AC55:AC56"/>
    <mergeCell ref="AD55:AM56"/>
    <mergeCell ref="AN55:AN56"/>
    <mergeCell ref="O56:O57"/>
    <mergeCell ref="P56:P57"/>
    <mergeCell ref="Q56:Q57"/>
    <mergeCell ref="R56:R57"/>
    <mergeCell ref="S56:S57"/>
    <mergeCell ref="T56:T57"/>
    <mergeCell ref="U56:U57"/>
    <mergeCell ref="U54:U55"/>
    <mergeCell ref="V54:V55"/>
    <mergeCell ref="W54:W55"/>
    <mergeCell ref="X54:X55"/>
    <mergeCell ref="Y54:Y55"/>
    <mergeCell ref="Z54:Z55"/>
    <mergeCell ref="O54:O55"/>
    <mergeCell ref="P54:P55"/>
    <mergeCell ref="Q54:Q55"/>
    <mergeCell ref="R54:R55"/>
    <mergeCell ref="S54:S55"/>
    <mergeCell ref="AQ57:BB58"/>
    <mergeCell ref="A59:A60"/>
    <mergeCell ref="B59:B60"/>
    <mergeCell ref="C59:C60"/>
    <mergeCell ref="D59:D60"/>
    <mergeCell ref="E59:E60"/>
    <mergeCell ref="F59:F60"/>
    <mergeCell ref="G59:G60"/>
    <mergeCell ref="H59:H60"/>
    <mergeCell ref="I59:I60"/>
    <mergeCell ref="V56:V57"/>
    <mergeCell ref="W56:W57"/>
    <mergeCell ref="X56:X57"/>
    <mergeCell ref="Y56:Y57"/>
    <mergeCell ref="Z56:Z57"/>
    <mergeCell ref="AQ60:AQ61"/>
    <mergeCell ref="AR60:BA61"/>
    <mergeCell ref="BB60:BB61"/>
    <mergeCell ref="A61:A62"/>
    <mergeCell ref="B61:B62"/>
    <mergeCell ref="C61:C62"/>
    <mergeCell ref="D61:D62"/>
    <mergeCell ref="E61:E62"/>
    <mergeCell ref="F61:F62"/>
    <mergeCell ref="G61:G62"/>
    <mergeCell ref="J59:J60"/>
    <mergeCell ref="K59:K60"/>
    <mergeCell ref="L59:L60"/>
    <mergeCell ref="O60:O61"/>
    <mergeCell ref="P60:Y61"/>
    <mergeCell ref="Z60:Z61"/>
    <mergeCell ref="H61:H62"/>
    <mergeCell ref="I61:I62"/>
    <mergeCell ref="J61:J62"/>
    <mergeCell ref="K61:K62"/>
    <mergeCell ref="L61:L62"/>
    <mergeCell ref="A63:A64"/>
    <mergeCell ref="B63:K64"/>
    <mergeCell ref="L63:L64"/>
    <mergeCell ref="AK64:AK65"/>
    <mergeCell ref="AL64:AL65"/>
    <mergeCell ref="AM64:AM65"/>
    <mergeCell ref="AN64:AN65"/>
    <mergeCell ref="AC64:AC65"/>
    <mergeCell ref="AD64:AD65"/>
    <mergeCell ref="AE64:AE65"/>
    <mergeCell ref="AF64:AF65"/>
    <mergeCell ref="AG64:AG65"/>
    <mergeCell ref="AH64:AH65"/>
    <mergeCell ref="BE65:BE66"/>
    <mergeCell ref="BF65:BJ66"/>
    <mergeCell ref="BK65:BK66"/>
    <mergeCell ref="AC66:AC67"/>
    <mergeCell ref="AD66:AD67"/>
    <mergeCell ref="AE66:AE67"/>
    <mergeCell ref="AF66:AF67"/>
    <mergeCell ref="AG66:AG67"/>
    <mergeCell ref="AH66:AH67"/>
    <mergeCell ref="AI66:AI67"/>
    <mergeCell ref="AW64:AW65"/>
    <mergeCell ref="AX64:AX65"/>
    <mergeCell ref="AY64:AY65"/>
    <mergeCell ref="AZ64:AZ65"/>
    <mergeCell ref="BA64:BA65"/>
    <mergeCell ref="BB64:BB65"/>
    <mergeCell ref="AQ64:AQ65"/>
    <mergeCell ref="AR64:AR65"/>
    <mergeCell ref="AS64:AS65"/>
    <mergeCell ref="AT64:AT65"/>
    <mergeCell ref="AU64:AU65"/>
    <mergeCell ref="AV64:AV65"/>
    <mergeCell ref="AI64:AI65"/>
    <mergeCell ref="AJ64:AJ65"/>
    <mergeCell ref="A67:A68"/>
    <mergeCell ref="B67:K68"/>
    <mergeCell ref="L67:L68"/>
    <mergeCell ref="AR66:AR67"/>
    <mergeCell ref="AS66:AS67"/>
    <mergeCell ref="AT66:AT67"/>
    <mergeCell ref="AU66:AU67"/>
    <mergeCell ref="AV66:AV67"/>
    <mergeCell ref="AW66:AW67"/>
    <mergeCell ref="AJ66:AJ67"/>
    <mergeCell ref="AK66:AK67"/>
    <mergeCell ref="AL66:AL67"/>
    <mergeCell ref="AM66:AM67"/>
    <mergeCell ref="AN66:AN67"/>
    <mergeCell ref="AQ66:AQ67"/>
    <mergeCell ref="AC75:AC76"/>
    <mergeCell ref="AD75:AM76"/>
    <mergeCell ref="E69:E70"/>
    <mergeCell ref="F69:F70"/>
    <mergeCell ref="AX66:AX67"/>
    <mergeCell ref="AY66:AY67"/>
    <mergeCell ref="AZ66:AZ67"/>
    <mergeCell ref="BA66:BA67"/>
    <mergeCell ref="BB66:BB67"/>
    <mergeCell ref="Z70:Z71"/>
    <mergeCell ref="AQ70:AQ71"/>
    <mergeCell ref="O70:O71"/>
    <mergeCell ref="P70:Y71"/>
    <mergeCell ref="I71:I72"/>
    <mergeCell ref="J71:J72"/>
    <mergeCell ref="K71:K72"/>
    <mergeCell ref="L71:L72"/>
    <mergeCell ref="X74:X75"/>
    <mergeCell ref="Y74:Y75"/>
    <mergeCell ref="Z74:Z75"/>
    <mergeCell ref="A69:A70"/>
    <mergeCell ref="B69:B70"/>
    <mergeCell ref="C69:C70"/>
    <mergeCell ref="D69:D70"/>
    <mergeCell ref="W74:W75"/>
    <mergeCell ref="AR70:BA71"/>
    <mergeCell ref="BB70:BB71"/>
    <mergeCell ref="G69:G70"/>
    <mergeCell ref="H69:H70"/>
    <mergeCell ref="I69:I70"/>
    <mergeCell ref="J69:J70"/>
    <mergeCell ref="K69:K70"/>
    <mergeCell ref="L69:L70"/>
    <mergeCell ref="V74:V75"/>
    <mergeCell ref="AN75:AN76"/>
    <mergeCell ref="O76:O77"/>
    <mergeCell ref="P76:P77"/>
    <mergeCell ref="Q76:Q77"/>
    <mergeCell ref="R76:R77"/>
    <mergeCell ref="S76:S77"/>
    <mergeCell ref="T76:T77"/>
    <mergeCell ref="U76:U77"/>
    <mergeCell ref="G71:G72"/>
    <mergeCell ref="H71:H72"/>
    <mergeCell ref="A71:A72"/>
    <mergeCell ref="B71:B72"/>
    <mergeCell ref="C71:C72"/>
    <mergeCell ref="D71:D72"/>
    <mergeCell ref="E71:E72"/>
    <mergeCell ref="F71:F72"/>
    <mergeCell ref="X76:X77"/>
    <mergeCell ref="Y76:Y77"/>
    <mergeCell ref="Z76:Z77"/>
    <mergeCell ref="Q74:Q75"/>
    <mergeCell ref="R74:R75"/>
    <mergeCell ref="S74:S75"/>
    <mergeCell ref="T74:T75"/>
    <mergeCell ref="U74:U75"/>
    <mergeCell ref="A77:A78"/>
    <mergeCell ref="B77:K78"/>
    <mergeCell ref="L77:L78"/>
    <mergeCell ref="A73:A74"/>
    <mergeCell ref="B73:K74"/>
    <mergeCell ref="L73:L74"/>
    <mergeCell ref="O74:O75"/>
    <mergeCell ref="P74:P75"/>
    <mergeCell ref="V76:V77"/>
    <mergeCell ref="W76:W77"/>
    <mergeCell ref="AO77:AP78"/>
    <mergeCell ref="A79:A80"/>
    <mergeCell ref="B79:B80"/>
    <mergeCell ref="C79:C80"/>
    <mergeCell ref="D79:D80"/>
    <mergeCell ref="E79:E80"/>
    <mergeCell ref="L79:L80"/>
    <mergeCell ref="AO79:AP80"/>
    <mergeCell ref="O80:O81"/>
    <mergeCell ref="P80:Y81"/>
    <mergeCell ref="Z80:Z81"/>
    <mergeCell ref="A81:A82"/>
    <mergeCell ref="B81:B82"/>
    <mergeCell ref="C81:C82"/>
    <mergeCell ref="D81:D82"/>
    <mergeCell ref="E81:E82"/>
    <mergeCell ref="F79:F80"/>
    <mergeCell ref="G79:G80"/>
    <mergeCell ref="H79:H80"/>
    <mergeCell ref="I79:I80"/>
    <mergeCell ref="J79:J80"/>
    <mergeCell ref="K79:K80"/>
    <mergeCell ref="L81:L82"/>
    <mergeCell ref="AO81:AP82"/>
    <mergeCell ref="A83:A84"/>
    <mergeCell ref="B83:K84"/>
    <mergeCell ref="L83:L84"/>
    <mergeCell ref="AO83:AP84"/>
    <mergeCell ref="F81:F82"/>
    <mergeCell ref="G81:G82"/>
    <mergeCell ref="H81:H82"/>
    <mergeCell ref="I81:I82"/>
    <mergeCell ref="J81:J82"/>
    <mergeCell ref="K81:K82"/>
  </mergeCells>
  <conditionalFormatting sqref="P10:T11 P30:T31 P50:T51 P70:T71 AR60:AV61">
    <cfRule type="expression" dxfId="266" priority="91">
      <formula>AND(O10=AC15,AC15&lt;&gt;" ")</formula>
    </cfRule>
  </conditionalFormatting>
  <conditionalFormatting sqref="Z10:Z11 Z30:Z31 Z50:Z51 Z70:Z71 BB60:BB61">
    <cfRule type="expression" dxfId="265" priority="90">
      <formula>AND(O10=AC15,AC15&lt;&gt;" ")</formula>
    </cfRule>
  </conditionalFormatting>
  <conditionalFormatting sqref="P20:Y21 P40:Y41 P60:Y61 P80:Y81 AR70:AZ71">
    <cfRule type="expression" dxfId="264" priority="89">
      <formula>AND(O20=AC15,AC15&lt;&gt;" ")</formula>
    </cfRule>
  </conditionalFormatting>
  <conditionalFormatting sqref="Z20:Z21 Z40:Z41 Z60:Z61 Z80:Z81">
    <cfRule type="expression" dxfId="263" priority="88">
      <formula>AND(O20=AC15,AC15&lt;&gt;" ")</formula>
    </cfRule>
  </conditionalFormatting>
  <conditionalFormatting sqref="AR20:AV21">
    <cfRule type="expression" dxfId="262" priority="87">
      <formula>AND(AQ20=BE25,BE25&lt;&gt;" ")</formula>
    </cfRule>
  </conditionalFormatting>
  <conditionalFormatting sqref="BB20:BB21">
    <cfRule type="expression" dxfId="261" priority="86">
      <formula>AND(AQ20=BE25,BE25&lt;&gt;" ")</formula>
    </cfRule>
  </conditionalFormatting>
  <conditionalFormatting sqref="AR30:BA31">
    <cfRule type="expression" dxfId="260" priority="85">
      <formula>AND(AQ30=BE25,BE25&lt;&gt;" ")</formula>
    </cfRule>
  </conditionalFormatting>
  <conditionalFormatting sqref="BB30:BB31">
    <cfRule type="expression" dxfId="259" priority="84">
      <formula>AND(AQ30=BE25,BE25&lt;&gt;" ")</formula>
    </cfRule>
  </conditionalFormatting>
  <conditionalFormatting sqref="AD55:AN56">
    <cfRule type="expression" dxfId="258" priority="83">
      <formula>AND($AC$55=$AQ$30,$AQ$30&lt;&gt;" ")</formula>
    </cfRule>
  </conditionalFormatting>
  <conditionalFormatting sqref="AN75:AN76">
    <cfRule type="expression" dxfId="257" priority="82">
      <formula>AND(AC75=$AQ$30,$AQ$30&lt;&gt;" ")</formula>
    </cfRule>
  </conditionalFormatting>
  <conditionalFormatting sqref="AD75:AM76">
    <cfRule type="expression" dxfId="256" priority="81">
      <formula>AND($AC$75=$AQ$30,$AQ$30&lt;&gt;" ")</formula>
    </cfRule>
  </conditionalFormatting>
  <conditionalFormatting sqref="AD15:AN16">
    <cfRule type="expression" dxfId="255" priority="80">
      <formula>AND($AC$15=$AQ$20,$AQ$20&lt;&gt;" ")</formula>
    </cfRule>
  </conditionalFormatting>
  <conditionalFormatting sqref="AD35:AN36">
    <cfRule type="expression" dxfId="254" priority="79">
      <formula>AND($AC$35=$AQ$20,$AQ$20&lt;&gt;" ")</formula>
    </cfRule>
  </conditionalFormatting>
  <conditionalFormatting sqref="BB70:BB71">
    <cfRule type="expression" dxfId="253" priority="75">
      <formula>AND(AQ70=BE65,BE65&lt;&gt;" ")</formula>
    </cfRule>
  </conditionalFormatting>
  <conditionalFormatting sqref="B7:F8 B17:F18 B27:F28 B37:F38 B47:F48 B57:F58 B67:F68 B77:F78">
    <cfRule type="expression" dxfId="252" priority="74">
      <formula>AND(A7=O10,O10&lt;&gt;" ")</formula>
    </cfRule>
  </conditionalFormatting>
  <conditionalFormatting sqref="L7:L8 L17:L18 L27:L28 L37:L38 L47:L48 L57:L58 L67:L68 L77:L78">
    <cfRule type="expression" dxfId="251" priority="73">
      <formula>AND(A7=O10,O10&lt;&gt;" ")</formula>
    </cfRule>
  </conditionalFormatting>
  <conditionalFormatting sqref="B13:K14 B23:K24 B33:K34 B43:K44 B53:K54 B63:K64 B73:K74 B83:K84">
    <cfRule type="expression" dxfId="250" priority="72">
      <formula>AND(A13=O10,O10&lt;&gt;" ")</formula>
    </cfRule>
  </conditionalFormatting>
  <conditionalFormatting sqref="L13:L14 L23:L24 L33:L34 L43:L44 L53:L54 L63:L64 L73:L74 L83:L84">
    <cfRule type="expression" dxfId="249" priority="71">
      <formula>AND(A13=O10,O10&lt;&gt;" ")</formula>
    </cfRule>
  </conditionalFormatting>
  <conditionalFormatting sqref="A9:A12 A19:A22 A29:A32 A39:A42 A49:A52 A59:A62 A69:A72 A79:A82">
    <cfRule type="expression" dxfId="248" priority="69">
      <formula>AND(MOD(A9,2)=0,A9&lt;&gt;"")</formula>
    </cfRule>
    <cfRule type="expression" dxfId="247" priority="70">
      <formula>AND(MOD(A9,2)=1,A9&lt;&gt;"")</formula>
    </cfRule>
  </conditionalFormatting>
  <conditionalFormatting sqref="A11:A12 A21:A22 A31:A32 A41:A42 A51:A52 A61:A62 A71:A72 A81:A82">
    <cfRule type="expression" dxfId="246" priority="67">
      <formula>AND(MOD(A11,2)=0,A11&lt;&gt;"")</formula>
    </cfRule>
    <cfRule type="expression" dxfId="245" priority="68">
      <formula>AND(MOD(A11,2)=1,A11&lt;&gt;"")</formula>
    </cfRule>
  </conditionalFormatting>
  <conditionalFormatting sqref="O14:O15">
    <cfRule type="expression" dxfId="244" priority="65">
      <formula>AND(MOD(O14,2)=0,O14&lt;&gt;"")</formula>
    </cfRule>
    <cfRule type="expression" dxfId="243" priority="66">
      <formula>AND(MOD(O14,2)=1,O14&lt;&gt;"")</formula>
    </cfRule>
  </conditionalFormatting>
  <conditionalFormatting sqref="O16:O17">
    <cfRule type="expression" dxfId="242" priority="63">
      <formula>AND(MOD(O16,2)=0,O16&lt;&gt;"")</formula>
    </cfRule>
    <cfRule type="expression" dxfId="241" priority="64">
      <formula>AND(MOD(O16,2)=1,O16&lt;&gt;"")</formula>
    </cfRule>
  </conditionalFormatting>
  <conditionalFormatting sqref="O34:O35 O54:O55 O74:O75">
    <cfRule type="expression" dxfId="240" priority="61">
      <formula>AND(MOD(O34,2)=0,O34&lt;&gt;"")</formula>
    </cfRule>
    <cfRule type="expression" dxfId="239" priority="62">
      <formula>AND(MOD(O34,2)=1,O34&lt;&gt;"")</formula>
    </cfRule>
  </conditionalFormatting>
  <conditionalFormatting sqref="O36:O37 O56:O57 O76:O77">
    <cfRule type="expression" dxfId="238" priority="59">
      <formula>AND(MOD(O36,2)=0,O36&lt;&gt;"")</formula>
    </cfRule>
    <cfRule type="expression" dxfId="237" priority="60">
      <formula>AND(MOD(O36,2)=1,O36&lt;&gt;"")</formula>
    </cfRule>
  </conditionalFormatting>
  <conditionalFormatting sqref="AC24:AC25">
    <cfRule type="expression" dxfId="236" priority="57">
      <formula>AND(MOD(AC24,2)=0,AC24&lt;&gt;"")</formula>
    </cfRule>
    <cfRule type="expression" dxfId="235" priority="58">
      <formula>AND(MOD(AC24,2)=1,AC24&lt;&gt;"")</formula>
    </cfRule>
  </conditionalFormatting>
  <conditionalFormatting sqref="AC26:AC27">
    <cfRule type="expression" dxfId="234" priority="55">
      <formula>AND(MOD(AC26,2)=0,AC26&lt;&gt;"")</formula>
    </cfRule>
    <cfRule type="expression" dxfId="233" priority="56">
      <formula>AND(MOD(AC26,2)=1,AC26&lt;&gt;"")</formula>
    </cfRule>
  </conditionalFormatting>
  <conditionalFormatting sqref="AC64:AC65">
    <cfRule type="expression" dxfId="232" priority="53">
      <formula>AND(MOD(AC64,2)=0,AC64&lt;&gt;"")</formula>
    </cfRule>
    <cfRule type="expression" dxfId="231" priority="54">
      <formula>AND(MOD(AC64,2)=1,AC64&lt;&gt;"")</formula>
    </cfRule>
  </conditionalFormatting>
  <conditionalFormatting sqref="AC66:AC67">
    <cfRule type="expression" dxfId="230" priority="51">
      <formula>AND(MOD(AC66,2)=0,AC66&lt;&gt;"")</formula>
    </cfRule>
    <cfRule type="expression" dxfId="229" priority="52">
      <formula>AND(MOD(AC66,2)=1,AC66&lt;&gt;"")</formula>
    </cfRule>
  </conditionalFormatting>
  <conditionalFormatting sqref="AQ24:AQ25">
    <cfRule type="expression" dxfId="228" priority="49">
      <formula>AND(MOD(AQ24,2)=0,AQ24&lt;&gt;"")</formula>
    </cfRule>
    <cfRule type="expression" dxfId="227" priority="50">
      <formula>AND(MOD(AQ24,2)=1,AQ24&lt;&gt;"")</formula>
    </cfRule>
  </conditionalFormatting>
  <conditionalFormatting sqref="AQ26:AQ27">
    <cfRule type="expression" dxfId="226" priority="47">
      <formula>AND(MOD(AQ26,2)=0,AQ26&lt;&gt;"")</formula>
    </cfRule>
    <cfRule type="expression" dxfId="225" priority="48">
      <formula>AND(MOD(AQ26,2)=1,AQ26&lt;&gt;"")</formula>
    </cfRule>
  </conditionalFormatting>
  <conditionalFormatting sqref="AQ64:AQ65">
    <cfRule type="expression" dxfId="224" priority="45">
      <formula>AND(MOD(AQ64,2)=0,AQ64&lt;&gt;"")</formula>
    </cfRule>
    <cfRule type="expression" dxfId="223" priority="46">
      <formula>AND(MOD(AQ64,2)=1,AQ64&lt;&gt;"")</formula>
    </cfRule>
  </conditionalFormatting>
  <conditionalFormatting sqref="AQ66:AQ67">
    <cfRule type="expression" dxfId="222" priority="43">
      <formula>AND(MOD(AQ66,2)=0,AQ66&lt;&gt;"")</formula>
    </cfRule>
    <cfRule type="expression" dxfId="221" priority="44">
      <formula>AND(MOD(AQ66,2)=1,AQ66&lt;&gt;"")</formula>
    </cfRule>
  </conditionalFormatting>
  <conditionalFormatting sqref="O14:O15">
    <cfRule type="expression" dxfId="220" priority="41">
      <formula>AND(MOD(O14,2)=0,O14&lt;&gt;"")</formula>
    </cfRule>
    <cfRule type="expression" dxfId="219" priority="42">
      <formula>AND(MOD(O14,2)=1,O14&lt;&gt;"")</formula>
    </cfRule>
  </conditionalFormatting>
  <conditionalFormatting sqref="O16:O17">
    <cfRule type="expression" dxfId="218" priority="39">
      <formula>AND(MOD(O16,2)=0,O16&lt;&gt;"")</formula>
    </cfRule>
    <cfRule type="expression" dxfId="217" priority="40">
      <formula>AND(MOD(O16,2)=1,O16&lt;&gt;"")</formula>
    </cfRule>
  </conditionalFormatting>
  <conditionalFormatting sqref="O16:O17">
    <cfRule type="expression" dxfId="216" priority="37">
      <formula>AND(MOD(O16,2)=0,O16&lt;&gt;"")</formula>
    </cfRule>
    <cfRule type="expression" dxfId="215" priority="38">
      <formula>AND(MOD(O16,2)=1,O16&lt;&gt;"")</formula>
    </cfRule>
  </conditionalFormatting>
  <conditionalFormatting sqref="O34:O35">
    <cfRule type="expression" dxfId="214" priority="35">
      <formula>AND(MOD(O34,2)=0,O34&lt;&gt;"")</formula>
    </cfRule>
    <cfRule type="expression" dxfId="213" priority="36">
      <formula>AND(MOD(O34,2)=1,O34&lt;&gt;"")</formula>
    </cfRule>
  </conditionalFormatting>
  <conditionalFormatting sqref="O36:O37">
    <cfRule type="expression" dxfId="212" priority="33">
      <formula>AND(MOD(O36,2)=0,O36&lt;&gt;"")</formula>
    </cfRule>
    <cfRule type="expression" dxfId="211" priority="34">
      <formula>AND(MOD(O36,2)=1,O36&lt;&gt;"")</formula>
    </cfRule>
  </conditionalFormatting>
  <conditionalFormatting sqref="O34:O35">
    <cfRule type="expression" dxfId="210" priority="31">
      <formula>AND(MOD(O34,2)=0,O34&lt;&gt;"")</formula>
    </cfRule>
    <cfRule type="expression" dxfId="209" priority="32">
      <formula>AND(MOD(O34,2)=1,O34&lt;&gt;"")</formula>
    </cfRule>
  </conditionalFormatting>
  <conditionalFormatting sqref="O36:O37">
    <cfRule type="expression" dxfId="208" priority="29">
      <formula>AND(MOD(O36,2)=0,O36&lt;&gt;"")</formula>
    </cfRule>
    <cfRule type="expression" dxfId="207" priority="30">
      <formula>AND(MOD(O36,2)=1,O36&lt;&gt;"")</formula>
    </cfRule>
  </conditionalFormatting>
  <conditionalFormatting sqref="O36:O37">
    <cfRule type="expression" dxfId="206" priority="27">
      <formula>AND(MOD(O36,2)=0,O36&lt;&gt;"")</formula>
    </cfRule>
    <cfRule type="expression" dxfId="205" priority="28">
      <formula>AND(MOD(O36,2)=1,O36&lt;&gt;"")</formula>
    </cfRule>
  </conditionalFormatting>
  <conditionalFormatting sqref="AC24:AC25">
    <cfRule type="expression" dxfId="204" priority="25">
      <formula>AND(MOD(AC24,2)=0,AC24&lt;&gt;"")</formula>
    </cfRule>
    <cfRule type="expression" dxfId="203" priority="26">
      <formula>AND(MOD(AC24,2)=1,AC24&lt;&gt;"")</formula>
    </cfRule>
  </conditionalFormatting>
  <conditionalFormatting sqref="AC26:AC27">
    <cfRule type="expression" dxfId="202" priority="23">
      <formula>AND(MOD(AC26,2)=0,AC26&lt;&gt;"")</formula>
    </cfRule>
    <cfRule type="expression" dxfId="201" priority="24">
      <formula>AND(MOD(AC26,2)=1,AC26&lt;&gt;"")</formula>
    </cfRule>
  </conditionalFormatting>
  <conditionalFormatting sqref="AC26:AC27">
    <cfRule type="expression" dxfId="200" priority="21">
      <formula>AND(MOD(AC26,2)=0,AC26&lt;&gt;"")</formula>
    </cfRule>
    <cfRule type="expression" dxfId="199" priority="22">
      <formula>AND(MOD(AC26,2)=1,AC26&lt;&gt;"")</formula>
    </cfRule>
  </conditionalFormatting>
  <conditionalFormatting sqref="AQ24:AQ25">
    <cfRule type="expression" dxfId="198" priority="19">
      <formula>AND(MOD(AQ24,2)=0,AQ24&lt;&gt;"")</formula>
    </cfRule>
    <cfRule type="expression" dxfId="197" priority="20">
      <formula>AND(MOD(AQ24,2)=1,AQ24&lt;&gt;"")</formula>
    </cfRule>
  </conditionalFormatting>
  <conditionalFormatting sqref="AQ24:AQ25">
    <cfRule type="expression" dxfId="196" priority="17">
      <formula>AND(MOD(AQ24,2)=0,AQ24&lt;&gt;"")</formula>
    </cfRule>
    <cfRule type="expression" dxfId="195" priority="18">
      <formula>AND(MOD(AQ24,2)=1,AQ24&lt;&gt;"")</formula>
    </cfRule>
  </conditionalFormatting>
  <conditionalFormatting sqref="AQ26:AQ27">
    <cfRule type="expression" dxfId="194" priority="15">
      <formula>AND(MOD(AQ26,2)=0,AQ26&lt;&gt;"")</formula>
    </cfRule>
    <cfRule type="expression" dxfId="193" priority="16">
      <formula>AND(MOD(AQ26,2)=1,AQ26&lt;&gt;"")</formula>
    </cfRule>
  </conditionalFormatting>
  <conditionalFormatting sqref="AQ64:AQ65">
    <cfRule type="expression" dxfId="192" priority="13">
      <formula>AND(MOD(AQ64,2)=0,AQ64&lt;&gt;"")</formula>
    </cfRule>
    <cfRule type="expression" dxfId="191" priority="14">
      <formula>AND(MOD(AQ64,2)=1,AQ64&lt;&gt;"")</formula>
    </cfRule>
  </conditionalFormatting>
  <conditionalFormatting sqref="AQ66:AQ67">
    <cfRule type="expression" dxfId="190" priority="11">
      <formula>AND(MOD(AQ66,2)=0,AQ66&lt;&gt;"")</formula>
    </cfRule>
    <cfRule type="expression" dxfId="189" priority="12">
      <formula>AND(MOD(AQ66,2)=1,AQ66&lt;&gt;"")</formula>
    </cfRule>
  </conditionalFormatting>
  <conditionalFormatting sqref="AQ64:AQ65">
    <cfRule type="expression" dxfId="188" priority="9">
      <formula>AND(MOD(AQ64,2)=0,AQ64&lt;&gt;"")</formula>
    </cfRule>
    <cfRule type="expression" dxfId="187" priority="10">
      <formula>AND(MOD(AQ64,2)=1,AQ64&lt;&gt;"")</formula>
    </cfRule>
  </conditionalFormatting>
  <conditionalFormatting sqref="AQ64:AQ65">
    <cfRule type="expression" dxfId="186" priority="7">
      <formula>AND(MOD(AQ64,2)=0,AQ64&lt;&gt;"")</formula>
    </cfRule>
    <cfRule type="expression" dxfId="185" priority="8">
      <formula>AND(MOD(AQ64,2)=1,AQ64&lt;&gt;"")</formula>
    </cfRule>
  </conditionalFormatting>
  <conditionalFormatting sqref="AQ66:AQ67">
    <cfRule type="expression" dxfId="184" priority="5">
      <formula>AND(MOD(AQ66,2)=0,AQ66&lt;&gt;"")</formula>
    </cfRule>
    <cfRule type="expression" dxfId="183" priority="6">
      <formula>AND(MOD(AQ66,2)=1,AQ66&lt;&gt;"")</formula>
    </cfRule>
  </conditionalFormatting>
  <conditionalFormatting sqref="BM77:BM88 A53:BD64 A90:XFD1048576 A68:BL89 BM89:XFD89 BS68:XFD72 A1:XFD49 A66:XFD67 BL53:BM64 A65:BM65 A50:BM52 BQ50:XFD65 BP73:BR73 BT73:XFD88 BO77:BO88 BP74:BP88 BQ74:BR76">
    <cfRule type="expression" dxfId="182" priority="4">
      <formula>OR($BE$50&lt;=$BE$52)</formula>
    </cfRule>
  </conditionalFormatting>
  <conditionalFormatting sqref="BA70:BA71">
    <cfRule type="expression" dxfId="181" priority="112">
      <formula>AND(AZ70=#REF!,#REF!&lt;&gt;" ")</formula>
    </cfRule>
  </conditionalFormatting>
  <conditionalFormatting sqref="BN50:BP65">
    <cfRule type="expression" dxfId="180" priority="2">
      <formula>OR($BE$50&lt;=$BE$52)</formula>
    </cfRule>
  </conditionalFormatting>
  <conditionalFormatting sqref="BQ77:BQ80">
    <cfRule type="expression" dxfId="179" priority="1">
      <formula>OR($BE$50&lt;=$BE$52)</formula>
    </cfRule>
  </conditionalFormatting>
  <dataValidations count="1">
    <dataValidation type="whole" allowBlank="1" showInputMessage="1" showErrorMessage="1" sqref="B9:F12 B59:F62 B69:F72 P14:T17 AD24:AH27 AD64:AH67 AR24:AV27 AR64:AV67 B79:F82 B19:F22 B29:F32 B39:F42 B49:F52 P34:T37 P54:T57 P74:T77">
      <formula1>0</formula1>
      <formula2>30</formula2>
    </dataValidation>
  </dataValidations>
  <printOptions horizontalCentered="1" verticalCentered="1"/>
  <pageMargins left="0.39370078740157483" right="0.39370078740157483" top="0.59055118110236227" bottom="0.59055118110236227" header="0" footer="0"/>
  <pageSetup paperSize="9" scale="6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pageSetUpPr fitToPage="1"/>
  </sheetPr>
  <dimension ref="A1:BT163"/>
  <sheetViews>
    <sheetView showGridLines="0" showRowColHeaders="0" zoomScaleSheetLayoutView="85" workbookViewId="0">
      <selection activeCell="AD64" sqref="AD64:AD65"/>
    </sheetView>
  </sheetViews>
  <sheetFormatPr defaultColWidth="7.5703125" defaultRowHeight="6.75" customHeight="1" x14ac:dyDescent="0.2"/>
  <cols>
    <col min="1" max="1" width="5.7109375" style="7" customWidth="1"/>
    <col min="2" max="6" width="5.28515625" style="4" customWidth="1"/>
    <col min="7" max="11" width="3.7109375" style="4" hidden="1" customWidth="1"/>
    <col min="12" max="12" width="5.7109375" style="3" customWidth="1"/>
    <col min="13" max="14" width="4.28515625" style="7" customWidth="1"/>
    <col min="15" max="15" width="5.7109375" style="3" customWidth="1"/>
    <col min="16" max="20" width="5.28515625" style="7" customWidth="1"/>
    <col min="21" max="25" width="3.7109375" style="7" hidden="1" customWidth="1"/>
    <col min="26" max="26" width="5.7109375" style="7" customWidth="1"/>
    <col min="27" max="28" width="4.28515625" style="7" customWidth="1"/>
    <col min="29" max="29" width="5.7109375" style="7" customWidth="1"/>
    <col min="30" max="34" width="5.28515625" style="7" customWidth="1"/>
    <col min="35" max="39" width="3.7109375" style="7" hidden="1" customWidth="1"/>
    <col min="40" max="40" width="5.7109375" style="7" customWidth="1"/>
    <col min="41" max="42" width="2.85546875" style="7" customWidth="1"/>
    <col min="43" max="43" width="5.7109375" style="7" customWidth="1"/>
    <col min="44" max="48" width="5.28515625" style="7" customWidth="1"/>
    <col min="49" max="53" width="0" style="7" hidden="1" customWidth="1"/>
    <col min="54" max="54" width="5.7109375" style="7" customWidth="1"/>
    <col min="55" max="56" width="2.85546875" style="7" customWidth="1"/>
    <col min="57" max="57" width="5.7109375" style="7" customWidth="1"/>
    <col min="58" max="62" width="5.28515625" style="7" customWidth="1"/>
    <col min="63" max="63" width="5.7109375" style="7" customWidth="1"/>
    <col min="64" max="64" width="7.5703125" style="7"/>
    <col min="65" max="72" width="0" style="7" hidden="1" customWidth="1"/>
    <col min="73" max="16384" width="7.5703125" style="7"/>
  </cols>
  <sheetData>
    <row r="1" spans="1:63" s="6" customFormat="1" ht="15" customHeight="1" x14ac:dyDescent="0.25">
      <c r="A1" s="253" t="str">
        <f>'Start List'!A1</f>
        <v>22. BOHEMIA CUP - CROSSBOW FIELD</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row>
    <row r="2" spans="1:63" s="21" customFormat="1" ht="15" customHeight="1" x14ac:dyDescent="0.25">
      <c r="A2" s="253" t="str">
        <f>'Start List'!A2</f>
        <v>Nový Stadion, TJ Jiskra, Otrokovice</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row>
    <row r="3" spans="1:63" s="21" customFormat="1" ht="15" customHeight="1" x14ac:dyDescent="0.25">
      <c r="A3" s="253" t="str">
        <f>'Start List'!A3</f>
        <v>14.-16. August 2020</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row>
    <row r="4" spans="1:63" s="21" customFormat="1" ht="15" customHeight="1" x14ac:dyDescent="0.25">
      <c r="A4" s="253" t="str">
        <f>"Match Play - "&amp;SUBSTITUTE(A5,"  ","")</f>
        <v>Match Play - Senior Men</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row>
    <row r="5" spans="1:63" s="21" customFormat="1" ht="15" hidden="1" customHeight="1" x14ac:dyDescent="0.25">
      <c r="A5" s="253" t="str">
        <f>VLOOKUP(Data!$AJ$6,Data!$AJ$2:$AK$7,2,FALSE)</f>
        <v>Senior Men</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row>
    <row r="6" spans="1:63" s="6" customFormat="1" ht="6.75" customHeight="1" thickBo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8"/>
      <c r="AI6" s="29"/>
    </row>
    <row r="7" spans="1:63" s="1" customFormat="1" ht="6.75" customHeight="1" x14ac:dyDescent="0.2">
      <c r="A7" s="254">
        <v>1</v>
      </c>
      <c r="B7" s="255" t="str">
        <f ca="1">IF(A7=" "," ",IFERROR(VLOOKUP(LARGE(INDIRECT(VLOOKUP($A$5,'Start List'!$J$9:$Q$14,5,FALSE)),A7),'Start List'!$B$15:$V$139,3,FALSE),"bye to the next round"))</f>
        <v>Nedělník Josef</v>
      </c>
      <c r="C7" s="256"/>
      <c r="D7" s="256"/>
      <c r="E7" s="256"/>
      <c r="F7" s="256"/>
      <c r="G7" s="256"/>
      <c r="H7" s="256"/>
      <c r="I7" s="256"/>
      <c r="J7" s="256"/>
      <c r="K7" s="257"/>
      <c r="L7" s="261" t="str">
        <f ca="1">IFERROR(VLOOKUP(LARGE(INDIRECT(VLOOKUP($A$5,'Start List'!$J$9:$Q$14,5,FALSE)),'Senior Men'!A7),'Start List'!$B$15:$V$139,7,FALSE)," ")</f>
        <v xml:space="preserve"> </v>
      </c>
      <c r="M7" s="2"/>
      <c r="N7" s="5"/>
      <c r="O7" s="11"/>
    </row>
    <row r="8" spans="1:63" ht="6.75" customHeight="1" thickBot="1" x14ac:dyDescent="0.25">
      <c r="A8" s="254"/>
      <c r="B8" s="258"/>
      <c r="C8" s="259"/>
      <c r="D8" s="259"/>
      <c r="E8" s="259"/>
      <c r="F8" s="259"/>
      <c r="G8" s="259"/>
      <c r="H8" s="259"/>
      <c r="I8" s="259"/>
      <c r="J8" s="259"/>
      <c r="K8" s="260"/>
      <c r="L8" s="262"/>
      <c r="M8" s="14"/>
    </row>
    <row r="9" spans="1:63" ht="6.75" customHeight="1" thickBot="1" x14ac:dyDescent="0.25">
      <c r="A9" s="263" t="str">
        <f>VLOOKUP(VLOOKUP($A$5,'Start List'!$J$9:$Q$14,8,FALSE)&amp;A7,Data!$D$2:$H$97,2,FALSE)</f>
        <v/>
      </c>
      <c r="B9" s="274"/>
      <c r="C9" s="271"/>
      <c r="D9" s="271"/>
      <c r="E9" s="271"/>
      <c r="F9" s="271"/>
      <c r="G9" s="268">
        <f>IF(B9&gt;B11,2,IF(AND(B11=B9,B9&gt;0),1,0))</f>
        <v>0</v>
      </c>
      <c r="H9" s="268">
        <f>IF(C9&gt;C11,2,IF(AND(C11=C9,C9&gt;0),1,0))</f>
        <v>0</v>
      </c>
      <c r="I9" s="268">
        <f>IF(D9&gt;D11,2,IF(AND(D11=D9,D9&gt;0),1,0))</f>
        <v>0</v>
      </c>
      <c r="J9" s="268">
        <f>IF(E9&gt;E11,2,IF(AND(E11=E9,E9&gt;0),1,0))</f>
        <v>0</v>
      </c>
      <c r="K9" s="268">
        <f>IF(F9&gt;F11,2,IF(AND(F11=F9,F9&gt;0),1,0))</f>
        <v>0</v>
      </c>
      <c r="L9" s="272">
        <f>SUM(G9:K10)</f>
        <v>0</v>
      </c>
      <c r="M9" s="9"/>
    </row>
    <row r="10" spans="1:63" ht="6.75" customHeight="1" x14ac:dyDescent="0.2">
      <c r="A10" s="263"/>
      <c r="B10" s="264"/>
      <c r="C10" s="266"/>
      <c r="D10" s="266"/>
      <c r="E10" s="266"/>
      <c r="F10" s="266"/>
      <c r="G10" s="269"/>
      <c r="H10" s="269"/>
      <c r="I10" s="269"/>
      <c r="J10" s="269"/>
      <c r="K10" s="269"/>
      <c r="L10" s="273"/>
      <c r="M10" s="15"/>
      <c r="O10" s="254">
        <f ca="1">IF(B13="bye to the next round",A7,IF(AND(L9&gt;L11,L9&gt;4),A7,IF(AND(L11&gt;L9,L11&gt;4),A13,IF(AND(L9=5,L11=5),MIN(A7,A13)," "))))</f>
        <v>1</v>
      </c>
      <c r="P10" s="255" t="str">
        <f ca="1">IF(O10=" "," ",IFERROR(VLOOKUP(LARGE(INDIRECT(VLOOKUP($A$5,'Start List'!$J$9:$Q$14,5,FALSE)),O10),'Start List'!$B$15:$V$139,3,FALSE),"bye to the next round"))</f>
        <v>Nedělník Josef</v>
      </c>
      <c r="Q10" s="256"/>
      <c r="R10" s="256"/>
      <c r="S10" s="256"/>
      <c r="T10" s="256"/>
      <c r="U10" s="256"/>
      <c r="V10" s="256"/>
      <c r="W10" s="256"/>
      <c r="X10" s="256"/>
      <c r="Y10" s="257"/>
      <c r="Z10" s="261" t="str">
        <f ca="1">IFERROR(VLOOKUP(LARGE(INDIRECT(VLOOKUP($A$5,'Start List'!$J$9:$Q$14,5,FALSE)),'Senior Men'!O10),'Start List'!$B$15:$V$139,7,FALSE)," ")</f>
        <v xml:space="preserve"> </v>
      </c>
      <c r="AA10" s="16"/>
    </row>
    <row r="11" spans="1:63" ht="6.75" customHeight="1" thickBot="1" x14ac:dyDescent="0.25">
      <c r="A11" s="263" t="str">
        <f>VLOOKUP(VLOOKUP($A$5,'Start List'!$J$9:$Q$14,8,FALSE)&amp;A13,Data!$D$2:$H$97,2,FALSE)</f>
        <v/>
      </c>
      <c r="B11" s="264"/>
      <c r="C11" s="266"/>
      <c r="D11" s="266"/>
      <c r="E11" s="266"/>
      <c r="F11" s="266"/>
      <c r="G11" s="268">
        <f>IF(B9&lt;B11,2,IF(AND(B11=B9,B11&gt;0),1,0))</f>
        <v>0</v>
      </c>
      <c r="H11" s="268">
        <f>IF(C9&lt;C11,2,IF(AND(C11=C9,C11&gt;0),1,0))</f>
        <v>0</v>
      </c>
      <c r="I11" s="268">
        <f>IF(D9&lt;D11,2,IF(AND(D11=D9,D11&gt;0),1,0))</f>
        <v>0</v>
      </c>
      <c r="J11" s="268">
        <f>IF(E9&lt;E11,2,IF(AND(E11=E9,E11&gt;0),1,0))</f>
        <v>0</v>
      </c>
      <c r="K11" s="268">
        <f>IF(F9&lt;F11,2,IF(AND(F11=F9,F11&gt;0),1,0))</f>
        <v>0</v>
      </c>
      <c r="L11" s="272">
        <f>SUM(G11:K12)</f>
        <v>0</v>
      </c>
      <c r="M11" s="15"/>
      <c r="N11" s="10"/>
      <c r="O11" s="254"/>
      <c r="P11" s="258"/>
      <c r="Q11" s="259"/>
      <c r="R11" s="259"/>
      <c r="S11" s="259"/>
      <c r="T11" s="259"/>
      <c r="U11" s="259"/>
      <c r="V11" s="259"/>
      <c r="W11" s="259"/>
      <c r="X11" s="259"/>
      <c r="Y11" s="260"/>
      <c r="Z11" s="262"/>
      <c r="AA11" s="12"/>
    </row>
    <row r="12" spans="1:63" ht="6.75" customHeight="1" thickBot="1" x14ac:dyDescent="0.25">
      <c r="A12" s="263"/>
      <c r="B12" s="265"/>
      <c r="C12" s="267"/>
      <c r="D12" s="267"/>
      <c r="E12" s="267"/>
      <c r="F12" s="267"/>
      <c r="G12" s="269"/>
      <c r="H12" s="269"/>
      <c r="I12" s="269"/>
      <c r="J12" s="269"/>
      <c r="K12" s="269"/>
      <c r="L12" s="273"/>
      <c r="M12" s="15"/>
      <c r="O12" s="7"/>
      <c r="AA12" s="9"/>
    </row>
    <row r="13" spans="1:63" ht="6.75" customHeight="1" x14ac:dyDescent="0.2">
      <c r="A13" s="254">
        <v>16</v>
      </c>
      <c r="B13" s="255" t="str">
        <f ca="1">IF(A13=" "," ",IFERROR(VLOOKUP(LARGE(INDIRECT(VLOOKUP($A$5,'Start List'!$J$9:$Q$14,5,FALSE)),A13),'Start List'!$B$15:$V$139,3,FALSE),"bye to the next round"))</f>
        <v>bye to the next round</v>
      </c>
      <c r="C13" s="256"/>
      <c r="D13" s="256"/>
      <c r="E13" s="256"/>
      <c r="F13" s="256"/>
      <c r="G13" s="256"/>
      <c r="H13" s="256"/>
      <c r="I13" s="256"/>
      <c r="J13" s="256"/>
      <c r="K13" s="257"/>
      <c r="L13" s="261" t="str">
        <f ca="1">IFERROR(VLOOKUP(LARGE(INDIRECT(VLOOKUP($A$5,'Start List'!$J$9:$Q$14,5,FALSE)),'Senior Men'!A13),'Start List'!$B$15:$V$139,7,FALSE)," ")</f>
        <v xml:space="preserve"> </v>
      </c>
      <c r="M13" s="8"/>
      <c r="O13" s="7"/>
      <c r="AA13" s="9"/>
    </row>
    <row r="14" spans="1:63" ht="6.75" customHeight="1" thickBot="1" x14ac:dyDescent="0.25">
      <c r="A14" s="254"/>
      <c r="B14" s="258"/>
      <c r="C14" s="259"/>
      <c r="D14" s="259"/>
      <c r="E14" s="259"/>
      <c r="F14" s="259"/>
      <c r="G14" s="259"/>
      <c r="H14" s="259"/>
      <c r="I14" s="259"/>
      <c r="J14" s="259"/>
      <c r="K14" s="260"/>
      <c r="L14" s="262"/>
      <c r="M14" s="13"/>
      <c r="O14" s="263" t="str">
        <f>VLOOKUP(VLOOKUP($A$5,'Start List'!$J$9:$Q$14,8,FALSE)&amp;A7,Data!$D$2:$H$97,3,FALSE)</f>
        <v/>
      </c>
      <c r="P14" s="264"/>
      <c r="Q14" s="266"/>
      <c r="R14" s="266"/>
      <c r="S14" s="266"/>
      <c r="T14" s="266"/>
      <c r="U14" s="269">
        <f>IF(P14&gt;P16,2,IF(AND(P16=P14,P14&gt;0),1,0))</f>
        <v>0</v>
      </c>
      <c r="V14" s="269">
        <f>IF(Q14&gt;Q16,2,IF(AND(Q16=Q14,Q14&gt;0),1,0))</f>
        <v>0</v>
      </c>
      <c r="W14" s="269">
        <f>IF(R14&gt;R16,2,IF(AND(R16=R14,R14&gt;0),1,0))</f>
        <v>0</v>
      </c>
      <c r="X14" s="269">
        <f>IF(S14&gt;S16,2,IF(AND(S16=S14,S14&gt;0),1,0))</f>
        <v>0</v>
      </c>
      <c r="Y14" s="269">
        <f>IF(T14&gt;T16,2,IF(AND(T16=T14,T14&gt;0),1,0))</f>
        <v>0</v>
      </c>
      <c r="Z14" s="277">
        <f>SUM(U14:Y15)</f>
        <v>0</v>
      </c>
      <c r="AA14" s="9"/>
    </row>
    <row r="15" spans="1:63" ht="6.75" customHeight="1" x14ac:dyDescent="0.2">
      <c r="A15" s="30"/>
      <c r="O15" s="263"/>
      <c r="P15" s="264"/>
      <c r="Q15" s="266"/>
      <c r="R15" s="266"/>
      <c r="S15" s="266"/>
      <c r="T15" s="266"/>
      <c r="U15" s="269"/>
      <c r="V15" s="269"/>
      <c r="W15" s="269"/>
      <c r="X15" s="269"/>
      <c r="Y15" s="269"/>
      <c r="Z15" s="277"/>
      <c r="AA15" s="9"/>
      <c r="AC15" s="254">
        <f ca="1">IF(P20="bye to the next round",O10,IF(AND(Z14&gt;Z16,Z14&gt;4),O10,IF(AND(Z16&gt;Z14,Z16&gt;4),O20,IF(AND(Z14=5,Z16=5),MIN(O10,O20)," "))))</f>
        <v>1</v>
      </c>
      <c r="AD15" s="255" t="str">
        <f ca="1">IF(AC15=" "," ",IFERROR(VLOOKUP(LARGE(INDIRECT(VLOOKUP($A$5,'Start List'!$J$9:$Q$14,5,FALSE)),AC15),'Start List'!$B$15:$V$139,3,FALSE),"bye to the next round"))</f>
        <v>Nedělník Josef</v>
      </c>
      <c r="AE15" s="256"/>
      <c r="AF15" s="256"/>
      <c r="AG15" s="256"/>
      <c r="AH15" s="256"/>
      <c r="AI15" s="256"/>
      <c r="AJ15" s="256"/>
      <c r="AK15" s="256"/>
      <c r="AL15" s="256"/>
      <c r="AM15" s="257"/>
      <c r="AN15" s="275" t="str">
        <f ca="1">IFERROR(VLOOKUP(LARGE(INDIRECT(VLOOKUP($A$5,'Start List'!$J$9:$Q$14,5,FALSE)),'Senior Men'!AC15),'Start List'!$B$15:$V$139,7,FALSE)," ")</f>
        <v xml:space="preserve"> </v>
      </c>
    </row>
    <row r="16" spans="1:63" ht="6.75" customHeight="1" thickBot="1" x14ac:dyDescent="0.25">
      <c r="A16" s="29"/>
      <c r="B16" s="29"/>
      <c r="C16" s="29"/>
      <c r="D16" s="29"/>
      <c r="E16" s="29"/>
      <c r="F16" s="29"/>
      <c r="G16" s="29"/>
      <c r="H16" s="29"/>
      <c r="I16" s="29"/>
      <c r="J16" s="29"/>
      <c r="K16" s="29"/>
      <c r="L16" s="29"/>
      <c r="M16" s="29"/>
      <c r="N16" s="29"/>
      <c r="O16" s="263" t="str">
        <f>VLOOKUP(VLOOKUP($A$5,'Start List'!$J$9:$Q$14,8,FALSE)&amp;A23,Data!$D$2:$H$97,3,FALSE)</f>
        <v/>
      </c>
      <c r="P16" s="264"/>
      <c r="Q16" s="266"/>
      <c r="R16" s="266"/>
      <c r="S16" s="266"/>
      <c r="T16" s="266"/>
      <c r="U16" s="269">
        <f>IF(P14&lt;P16,2,IF(AND(P16=P14,P16&gt;0),1,0))</f>
        <v>0</v>
      </c>
      <c r="V16" s="269">
        <f>IF(Q14&lt;Q16,2,IF(AND(Q16=Q14,Q16&gt;0),1,0))</f>
        <v>0</v>
      </c>
      <c r="W16" s="269">
        <f>IF(R14&lt;R16,2,IF(AND(R16=R14,R16&gt;0),1,0))</f>
        <v>0</v>
      </c>
      <c r="X16" s="269">
        <f>IF(S14&lt;S16,2,IF(AND(S16=S14,S16&gt;0),1,0))</f>
        <v>0</v>
      </c>
      <c r="Y16" s="269">
        <f>IF(T14&lt;T16,2,IF(AND(T16=T14,T16&gt;0),1,0))</f>
        <v>0</v>
      </c>
      <c r="Z16" s="277">
        <f>SUM(U16:Y17)</f>
        <v>0</v>
      </c>
      <c r="AA16" s="17"/>
      <c r="AB16" s="19"/>
      <c r="AC16" s="254"/>
      <c r="AD16" s="258"/>
      <c r="AE16" s="259"/>
      <c r="AF16" s="259"/>
      <c r="AG16" s="259"/>
      <c r="AH16" s="259"/>
      <c r="AI16" s="259"/>
      <c r="AJ16" s="259"/>
      <c r="AK16" s="259"/>
      <c r="AL16" s="259"/>
      <c r="AM16" s="260"/>
      <c r="AN16" s="276"/>
      <c r="AO16" s="14"/>
    </row>
    <row r="17" spans="1:63" ht="6.75" customHeight="1" x14ac:dyDescent="0.2">
      <c r="A17" s="254">
        <v>8</v>
      </c>
      <c r="B17" s="255" t="str">
        <f ca="1">IF(A17=" "," ",IFERROR(VLOOKUP(LARGE(INDIRECT(VLOOKUP($A$5,'Start List'!$J$9:$Q$14,5,FALSE)),A17),'Start List'!$B$15:$V$139,3,FALSE),"bye to the next round"))</f>
        <v>bye to the next round</v>
      </c>
      <c r="C17" s="256"/>
      <c r="D17" s="256"/>
      <c r="E17" s="256"/>
      <c r="F17" s="256"/>
      <c r="G17" s="256"/>
      <c r="H17" s="256"/>
      <c r="I17" s="256"/>
      <c r="J17" s="256"/>
      <c r="K17" s="257"/>
      <c r="L17" s="261" t="str">
        <f ca="1">IFERROR(VLOOKUP(LARGE(INDIRECT(VLOOKUP($A$5,'Start List'!$J$9:$Q$14,5,FALSE)),'Senior Men'!A17),'Start List'!$B$15:$V$139,7,FALSE)," ")</f>
        <v xml:space="preserve"> </v>
      </c>
      <c r="M17" s="2"/>
      <c r="N17" s="5"/>
      <c r="O17" s="263"/>
      <c r="P17" s="264"/>
      <c r="Q17" s="266"/>
      <c r="R17" s="266"/>
      <c r="S17" s="266"/>
      <c r="T17" s="266"/>
      <c r="U17" s="269"/>
      <c r="V17" s="269"/>
      <c r="W17" s="269"/>
      <c r="X17" s="269"/>
      <c r="Y17" s="269"/>
      <c r="Z17" s="277"/>
      <c r="AA17" s="18"/>
      <c r="AB17" s="1"/>
      <c r="AO17" s="9"/>
      <c r="AQ17" s="278" t="str">
        <f>VLOOKUP("GMM",Translation!$A$1:$E$57,Data!$AP$2,FALSE)</f>
        <v>Gold Medal Match</v>
      </c>
      <c r="AR17" s="278"/>
      <c r="AS17" s="278"/>
      <c r="AT17" s="278"/>
      <c r="AU17" s="278"/>
      <c r="AV17" s="278"/>
      <c r="AW17" s="278"/>
      <c r="AX17" s="278"/>
      <c r="AY17" s="278"/>
      <c r="AZ17" s="278"/>
      <c r="BA17" s="278"/>
      <c r="BB17" s="278"/>
    </row>
    <row r="18" spans="1:63" ht="6.75" customHeight="1" thickBot="1" x14ac:dyDescent="0.25">
      <c r="A18" s="270"/>
      <c r="B18" s="258"/>
      <c r="C18" s="259"/>
      <c r="D18" s="259"/>
      <c r="E18" s="259"/>
      <c r="F18" s="259"/>
      <c r="G18" s="259"/>
      <c r="H18" s="259"/>
      <c r="I18" s="259"/>
      <c r="J18" s="259"/>
      <c r="K18" s="260"/>
      <c r="L18" s="262"/>
      <c r="M18" s="14"/>
      <c r="AA18" s="9"/>
      <c r="AO18" s="9"/>
      <c r="AQ18" s="278"/>
      <c r="AR18" s="278"/>
      <c r="AS18" s="278"/>
      <c r="AT18" s="278"/>
      <c r="AU18" s="278"/>
      <c r="AV18" s="278"/>
      <c r="AW18" s="278"/>
      <c r="AX18" s="278"/>
      <c r="AY18" s="278"/>
      <c r="AZ18" s="278"/>
      <c r="BA18" s="278"/>
      <c r="BB18" s="278"/>
    </row>
    <row r="19" spans="1:63" ht="6.75" customHeight="1" thickBot="1" x14ac:dyDescent="0.25">
      <c r="A19" s="263" t="str">
        <f>VLOOKUP(VLOOKUP($A$5,'Start List'!$J$9:$Q$14,8,FALSE)&amp;A17,Data!$D$2:$H$97,2,FALSE)</f>
        <v/>
      </c>
      <c r="B19" s="274"/>
      <c r="C19" s="271"/>
      <c r="D19" s="271"/>
      <c r="E19" s="271"/>
      <c r="F19" s="271"/>
      <c r="G19" s="268">
        <f>IF(B19&gt;B21,2,IF(AND(B21=B19,B19&gt;0),1,0))</f>
        <v>0</v>
      </c>
      <c r="H19" s="268">
        <f>IF(C19&gt;C21,2,IF(AND(C21=C19,C19&gt;0),1,0))</f>
        <v>0</v>
      </c>
      <c r="I19" s="268">
        <f>IF(D19&gt;D21,2,IF(AND(D21=D19,D19&gt;0),1,0))</f>
        <v>0</v>
      </c>
      <c r="J19" s="268">
        <f>IF(E19&gt;E21,2,IF(AND(E21=E19,E19&gt;0),1,0))</f>
        <v>0</v>
      </c>
      <c r="K19" s="268">
        <f>IF(F19&gt;F21,2,IF(AND(F21=F19,F19&gt;0),1,0))</f>
        <v>0</v>
      </c>
      <c r="L19" s="272">
        <f>SUM(G19:K20)</f>
        <v>0</v>
      </c>
      <c r="M19" s="9"/>
      <c r="AA19" s="9"/>
      <c r="AO19" s="9"/>
    </row>
    <row r="20" spans="1:63" ht="6.75" customHeight="1" x14ac:dyDescent="0.2">
      <c r="A20" s="263"/>
      <c r="B20" s="264"/>
      <c r="C20" s="266"/>
      <c r="D20" s="266"/>
      <c r="E20" s="266"/>
      <c r="F20" s="266"/>
      <c r="G20" s="269"/>
      <c r="H20" s="269"/>
      <c r="I20" s="269"/>
      <c r="J20" s="269"/>
      <c r="K20" s="269"/>
      <c r="L20" s="273"/>
      <c r="M20" s="15"/>
      <c r="O20" s="254">
        <f ca="1">IF(B23="bye to the next round",A17,IF(AND(L19&gt;L21,L19&gt;4),A17,IF(AND(L21&gt;L19,L21&gt;4),A23,IF(AND(L19=5,L21=5),MIN(A17,A23)," "))))</f>
        <v>8</v>
      </c>
      <c r="P20" s="255" t="str">
        <f ca="1">IF(O20=" "," ",IFERROR(VLOOKUP(LARGE(INDIRECT(VLOOKUP($A$5,'Start List'!$J$9:$Q$14,5,FALSE)),O20),'Start List'!$B$15:$V$139,3,FALSE),"bye to the next round"))</f>
        <v>bye to the next round</v>
      </c>
      <c r="Q20" s="256"/>
      <c r="R20" s="256"/>
      <c r="S20" s="256"/>
      <c r="T20" s="256"/>
      <c r="U20" s="256"/>
      <c r="V20" s="256"/>
      <c r="W20" s="256"/>
      <c r="X20" s="256"/>
      <c r="Y20" s="257"/>
      <c r="Z20" s="261" t="str">
        <f ca="1">IFERROR(VLOOKUP(LARGE(INDIRECT(VLOOKUP($A$5,'Start List'!$J$9:$Q$14,5,FALSE)),'Senior Men'!O20),'Start List'!$B$15:$V$139,7,FALSE)," ")</f>
        <v xml:space="preserve"> </v>
      </c>
      <c r="AA20" s="8"/>
      <c r="AO20" s="9"/>
      <c r="AQ20" s="254" t="str">
        <f>IF(AND(AN24&gt;AN26,AN24&gt;4),AC15,IF(AND(AN26&gt;AN24,AN26&gt;4),AC35,IF(AND(AN24=5,AN26=5),MIN(AC15,AC35)," ")))</f>
        <v xml:space="preserve"> </v>
      </c>
      <c r="AR20" s="255" t="str">
        <f ca="1">IF(AQ20=" "," ",IFERROR(VLOOKUP(LARGE(INDIRECT(VLOOKUP($A$5,'Start List'!$J$9:$Q$14,5,FALSE)),AQ20),'Start List'!$B$15:$V$139,3,FALSE),"bye to the next round"))</f>
        <v xml:space="preserve"> </v>
      </c>
      <c r="AS20" s="256"/>
      <c r="AT20" s="256"/>
      <c r="AU20" s="256"/>
      <c r="AV20" s="256"/>
      <c r="AW20" s="256"/>
      <c r="AX20" s="256"/>
      <c r="AY20" s="256"/>
      <c r="AZ20" s="256"/>
      <c r="BA20" s="257"/>
      <c r="BB20" s="261" t="str">
        <f ca="1">IFERROR(VLOOKUP(LARGE(INDIRECT(VLOOKUP($A$5,'Start List'!$J$9:$Q$14,5,FALSE)),'Senior Men'!AQ20),'Start List'!$B$15:$V$139,7,FALSE)," ")</f>
        <v xml:space="preserve"> </v>
      </c>
    </row>
    <row r="21" spans="1:63" ht="6.75" customHeight="1" thickBot="1" x14ac:dyDescent="0.25">
      <c r="A21" s="263" t="str">
        <f>VLOOKUP(VLOOKUP($A$5,'Start List'!$J$9:$Q$14,8,FALSE)&amp;A23,Data!$D$2:$H$97,2,FALSE)</f>
        <v/>
      </c>
      <c r="B21" s="264"/>
      <c r="C21" s="266"/>
      <c r="D21" s="266"/>
      <c r="E21" s="266"/>
      <c r="F21" s="266"/>
      <c r="G21" s="268">
        <f>IF(B19&lt;B21,2,IF(AND(B21=B19,B21&gt;0),1,0))</f>
        <v>0</v>
      </c>
      <c r="H21" s="268">
        <f>IF(C19&lt;C21,2,IF(AND(C21=C19,C21&gt;0),1,0))</f>
        <v>0</v>
      </c>
      <c r="I21" s="268">
        <f>IF(D19&lt;D21,2,IF(AND(D21=D19,D21&gt;0),1,0))</f>
        <v>0</v>
      </c>
      <c r="J21" s="268">
        <f>IF(E19&lt;E21,2,IF(AND(E21=E19,E21&gt;0),1,0))</f>
        <v>0</v>
      </c>
      <c r="K21" s="268">
        <f>IF(F19&lt;F21,2,IF(AND(F21=F19,F21&gt;0),1,0))</f>
        <v>0</v>
      </c>
      <c r="L21" s="272">
        <f>SUM(G21:K22)</f>
        <v>0</v>
      </c>
      <c r="M21" s="15"/>
      <c r="N21" s="10"/>
      <c r="O21" s="254"/>
      <c r="P21" s="258"/>
      <c r="Q21" s="259"/>
      <c r="R21" s="259"/>
      <c r="S21" s="259"/>
      <c r="T21" s="259"/>
      <c r="U21" s="259"/>
      <c r="V21" s="259"/>
      <c r="W21" s="259"/>
      <c r="X21" s="259"/>
      <c r="Y21" s="260"/>
      <c r="Z21" s="262"/>
      <c r="AA21" s="13"/>
      <c r="AO21" s="9"/>
      <c r="AQ21" s="254"/>
      <c r="AR21" s="258"/>
      <c r="AS21" s="259"/>
      <c r="AT21" s="259"/>
      <c r="AU21" s="259"/>
      <c r="AV21" s="259"/>
      <c r="AW21" s="259"/>
      <c r="AX21" s="259"/>
      <c r="AY21" s="259"/>
      <c r="AZ21" s="259"/>
      <c r="BA21" s="260"/>
      <c r="BB21" s="262"/>
      <c r="BC21" s="14"/>
    </row>
    <row r="22" spans="1:63" ht="6.75" customHeight="1" thickBot="1" x14ac:dyDescent="0.25">
      <c r="A22" s="263"/>
      <c r="B22" s="265"/>
      <c r="C22" s="267"/>
      <c r="D22" s="267"/>
      <c r="E22" s="267"/>
      <c r="F22" s="267"/>
      <c r="G22" s="269"/>
      <c r="H22" s="269"/>
      <c r="I22" s="269"/>
      <c r="J22" s="269"/>
      <c r="K22" s="269"/>
      <c r="L22" s="273"/>
      <c r="M22" s="15"/>
      <c r="O22" s="7"/>
      <c r="AO22" s="9"/>
      <c r="BC22" s="9"/>
    </row>
    <row r="23" spans="1:63" ht="6.75" customHeight="1" x14ac:dyDescent="0.2">
      <c r="A23" s="254">
        <v>9</v>
      </c>
      <c r="B23" s="255" t="str">
        <f ca="1">IF(A23=" "," ",IFERROR(VLOOKUP(LARGE(INDIRECT(VLOOKUP($A$5,'Start List'!$J$9:$Q$14,5,FALSE)),A23),'Start List'!$B$15:$V$139,3,FALSE),"bye to the next round"))</f>
        <v>bye to the next round</v>
      </c>
      <c r="C23" s="256"/>
      <c r="D23" s="256"/>
      <c r="E23" s="256"/>
      <c r="F23" s="256"/>
      <c r="G23" s="256"/>
      <c r="H23" s="256"/>
      <c r="I23" s="256"/>
      <c r="J23" s="256"/>
      <c r="K23" s="257"/>
      <c r="L23" s="261" t="str">
        <f ca="1">IFERROR(VLOOKUP(LARGE(INDIRECT(VLOOKUP($A$5,'Start List'!$J$9:$Q$14,5,FALSE)),'Senior Men'!A23),'Start List'!$B$15:$V$139,7,FALSE)," ")</f>
        <v xml:space="preserve"> </v>
      </c>
      <c r="M23" s="8"/>
      <c r="O23" s="7"/>
      <c r="AO23" s="9"/>
      <c r="BC23" s="9"/>
    </row>
    <row r="24" spans="1:63" ht="6.75" customHeight="1" thickBot="1" x14ac:dyDescent="0.25">
      <c r="A24" s="254"/>
      <c r="B24" s="258"/>
      <c r="C24" s="259"/>
      <c r="D24" s="259"/>
      <c r="E24" s="259"/>
      <c r="F24" s="259"/>
      <c r="G24" s="259"/>
      <c r="H24" s="259"/>
      <c r="I24" s="259"/>
      <c r="J24" s="259"/>
      <c r="K24" s="260"/>
      <c r="L24" s="262"/>
      <c r="M24" s="13"/>
      <c r="AC24" s="263">
        <f>VLOOKUP(VLOOKUP($A$5,'Start List'!$J$9:$Q$14,8,FALSE)&amp;A7,Data!$D$2:$H$97,4,FALSE)</f>
        <v>26</v>
      </c>
      <c r="AD24" s="266"/>
      <c r="AE24" s="266"/>
      <c r="AF24" s="266"/>
      <c r="AG24" s="266"/>
      <c r="AH24" s="266"/>
      <c r="AI24" s="269">
        <f>IF(AD24&gt;AD26,2,IF(AND(AD26=AD24,AD24&gt;0),1,0))</f>
        <v>0</v>
      </c>
      <c r="AJ24" s="269">
        <f>IF(AE24&gt;AE26,2,IF(AND(AE26=AE24,AE24&gt;0),1,0))</f>
        <v>0</v>
      </c>
      <c r="AK24" s="269">
        <f>IF(AF24&gt;AF26,2,IF(AND(AF26=AF24,AF24&gt;0),1,0))</f>
        <v>0</v>
      </c>
      <c r="AL24" s="269">
        <f>IF(AG24&gt;AG26,2,IF(AND(AG26=AG24,AG24&gt;0),1,0))</f>
        <v>0</v>
      </c>
      <c r="AM24" s="269">
        <f>IF(AH24&gt;AH26,2,IF(AND(AH26=AH24,AH24&gt;0),1,0))</f>
        <v>0</v>
      </c>
      <c r="AN24" s="277">
        <f>SUM(AI24:AM25)</f>
        <v>0</v>
      </c>
      <c r="AO24" s="9"/>
      <c r="AQ24" s="263">
        <f>VLOOKUP(VLOOKUP($A$5,'Start List'!$J$9:$Q$14,8,FALSE)&amp;A7,Data!$D$2:$H$97,5,FALSE)</f>
        <v>13</v>
      </c>
      <c r="AR24" s="266"/>
      <c r="AS24" s="266"/>
      <c r="AT24" s="266"/>
      <c r="AU24" s="266"/>
      <c r="AV24" s="266"/>
      <c r="AW24" s="269">
        <f>IF(AR24&gt;AR26,2,IF(AND(AR26=AR24,AR24&gt;0),1,0))</f>
        <v>0</v>
      </c>
      <c r="AX24" s="269">
        <f>IF(AS24&gt;AS26,2,IF(AND(AS26=AS24,AS24&gt;0),1,0))</f>
        <v>0</v>
      </c>
      <c r="AY24" s="269">
        <f>IF(AT24&gt;AT26,2,IF(AND(AT26=AT24,AT24&gt;0),1,0))</f>
        <v>0</v>
      </c>
      <c r="AZ24" s="269">
        <f>IF(AU24&gt;AU26,2,IF(AND(AU26=AU24,AU24&gt;0),1,0))</f>
        <v>0</v>
      </c>
      <c r="BA24" s="269">
        <f>IF(AV24&gt;AV26,2,IF(AND(AV26=AV24,AV24&gt;0),1,0))</f>
        <v>0</v>
      </c>
      <c r="BB24" s="277">
        <f>SUM(AW24:BA25)</f>
        <v>0</v>
      </c>
      <c r="BC24" s="9"/>
    </row>
    <row r="25" spans="1:63" ht="6.75" customHeight="1" x14ac:dyDescent="0.2">
      <c r="A25" s="30"/>
      <c r="AC25" s="263"/>
      <c r="AD25" s="266"/>
      <c r="AE25" s="266"/>
      <c r="AF25" s="266"/>
      <c r="AG25" s="266"/>
      <c r="AH25" s="266"/>
      <c r="AI25" s="269"/>
      <c r="AJ25" s="269"/>
      <c r="AK25" s="269"/>
      <c r="AL25" s="269"/>
      <c r="AM25" s="269"/>
      <c r="AN25" s="277"/>
      <c r="AO25" s="9"/>
      <c r="AQ25" s="263"/>
      <c r="AR25" s="266"/>
      <c r="AS25" s="266"/>
      <c r="AT25" s="266"/>
      <c r="AU25" s="266"/>
      <c r="AV25" s="266"/>
      <c r="AW25" s="269"/>
      <c r="AX25" s="269"/>
      <c r="AY25" s="269"/>
      <c r="AZ25" s="269"/>
      <c r="BA25" s="269"/>
      <c r="BB25" s="277"/>
      <c r="BC25" s="9"/>
      <c r="BE25" s="254" t="str">
        <f>IF(AND(BB24&gt;BB26,BB24&gt;4),AQ20,IF(AND(BB26&gt;BB24,BB26&gt;4),AQ30,IF(AND(BB24=5,BB26=5),MIN(AQ20,AQ30)," ")))</f>
        <v xml:space="preserve"> </v>
      </c>
      <c r="BF25" s="279" t="str">
        <f ca="1">IF(BE25=" "," ",IFERROR(VLOOKUP(LARGE(INDIRECT(VLOOKUP($A$5,'Start List'!$J$9:$Q$14,5,FALSE)),BE25),'Start List'!$B$15:$V$139,3,FALSE),"bye to the next round"))</f>
        <v xml:space="preserve"> </v>
      </c>
      <c r="BG25" s="256"/>
      <c r="BH25" s="256"/>
      <c r="BI25" s="256"/>
      <c r="BJ25" s="257"/>
      <c r="BK25" s="261" t="str">
        <f ca="1">IFERROR(VLOOKUP(LARGE(INDIRECT(VLOOKUP($A$5,'Start List'!$J$9:$Q$14,5,FALSE)),BE25),'Start List'!$B$15:$V$139,7,FALSE)," ")</f>
        <v xml:space="preserve"> </v>
      </c>
    </row>
    <row r="26" spans="1:63" ht="6.75" customHeight="1" thickBo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63">
        <f>VLOOKUP(VLOOKUP($A$5,'Start List'!$J$9:$Q$14,8,FALSE)&amp;A43,Data!$D$2:$H$97,4,FALSE)</f>
        <v>27</v>
      </c>
      <c r="AD26" s="266"/>
      <c r="AE26" s="266"/>
      <c r="AF26" s="266"/>
      <c r="AG26" s="266"/>
      <c r="AH26" s="266"/>
      <c r="AI26" s="269">
        <f>IF(AD24&lt;AD26,2,IF(AND(AD26=AD24,AD26&gt;0),1,0))</f>
        <v>0</v>
      </c>
      <c r="AJ26" s="269">
        <f>IF(AE24&lt;AE26,2,IF(AND(AE26=AE24,AE26&gt;0),1,0))</f>
        <v>0</v>
      </c>
      <c r="AK26" s="269">
        <f>IF(AF24&lt;AF26,2,IF(AND(AF26=AF24,AF26&gt;0),1,0))</f>
        <v>0</v>
      </c>
      <c r="AL26" s="269">
        <f>IF(AG24&lt;AG26,2,IF(AND(AG26=AG24,AG26&gt;0),1,0))</f>
        <v>0</v>
      </c>
      <c r="AM26" s="269">
        <f>IF(AH24&lt;AH26,2,IF(AND(AH26=AH24,AH26&gt;0),1,0))</f>
        <v>0</v>
      </c>
      <c r="AN26" s="277">
        <f>SUM(AI26:AM27)</f>
        <v>0</v>
      </c>
      <c r="AO26" s="9"/>
      <c r="AP26" s="24"/>
      <c r="AQ26" s="263">
        <f>VLOOKUP(VLOOKUP($A$5,'Start List'!$J$9:$Q$14,8,FALSE)&amp;A47,Data!$D$2:$H$97,5,FALSE)</f>
        <v>14</v>
      </c>
      <c r="AR26" s="266"/>
      <c r="AS26" s="266"/>
      <c r="AT26" s="266"/>
      <c r="AU26" s="266"/>
      <c r="AV26" s="266"/>
      <c r="AW26" s="269">
        <f>IF(AR24&lt;AR26,2,IF(AND(AR26=AR24,AR26&gt;0),1,0))</f>
        <v>0</v>
      </c>
      <c r="AX26" s="269">
        <f>IF(AS24&lt;AS26,2,IF(AND(AS26=AS24,AS26&gt;0),1,0))</f>
        <v>0</v>
      </c>
      <c r="AY26" s="269">
        <f>IF(AT24&lt;AT26,2,IF(AND(AT26=AT24,AT26&gt;0),1,0))</f>
        <v>0</v>
      </c>
      <c r="AZ26" s="269">
        <f>IF(AU24&lt;AU26,2,IF(AND(AU26=AU24,AU26&gt;0),1,0))</f>
        <v>0</v>
      </c>
      <c r="BA26" s="269">
        <f>IF(AV24&lt;AV26,2,IF(AND(AV26=AV24,AV26&gt;0),1,0))</f>
        <v>0</v>
      </c>
      <c r="BB26" s="277">
        <f>SUM(AW26:BA27)</f>
        <v>0</v>
      </c>
      <c r="BC26" s="9"/>
      <c r="BD26" s="25"/>
      <c r="BE26" s="254"/>
      <c r="BF26" s="258"/>
      <c r="BG26" s="259"/>
      <c r="BH26" s="259"/>
      <c r="BI26" s="259"/>
      <c r="BJ26" s="260"/>
      <c r="BK26" s="262"/>
    </row>
    <row r="27" spans="1:63" ht="6.75" customHeight="1" x14ac:dyDescent="0.2">
      <c r="A27" s="254">
        <v>4</v>
      </c>
      <c r="B27" s="255" t="str">
        <f ca="1">IF(A27=" "," ",IFERROR(VLOOKUP(LARGE(INDIRECT(VLOOKUP($A$5,'Start List'!$J$9:$Q$14,5,FALSE)),A27),'Start List'!$B$15:$V$139,3,FALSE),"bye to the next round"))</f>
        <v>Baborák František</v>
      </c>
      <c r="C27" s="256"/>
      <c r="D27" s="256"/>
      <c r="E27" s="256"/>
      <c r="F27" s="256"/>
      <c r="G27" s="256"/>
      <c r="H27" s="256"/>
      <c r="I27" s="256"/>
      <c r="J27" s="256"/>
      <c r="K27" s="257"/>
      <c r="L27" s="261" t="str">
        <f ca="1">IFERROR(VLOOKUP(LARGE(INDIRECT(VLOOKUP($A$5,'Start List'!$J$9:$Q$14,5,FALSE)),'Senior Men'!A27),'Start List'!$B$15:$V$139,7,FALSE)," ")</f>
        <v xml:space="preserve"> </v>
      </c>
      <c r="M27" s="2"/>
      <c r="N27" s="5"/>
      <c r="O27" s="11"/>
      <c r="P27" s="1"/>
      <c r="Q27" s="1"/>
      <c r="R27" s="1"/>
      <c r="S27" s="1"/>
      <c r="T27" s="1"/>
      <c r="U27" s="1"/>
      <c r="V27" s="1"/>
      <c r="W27" s="1"/>
      <c r="X27" s="1"/>
      <c r="Y27" s="1"/>
      <c r="Z27" s="1"/>
      <c r="AA27" s="1"/>
      <c r="AB27" s="1"/>
      <c r="AC27" s="263"/>
      <c r="AD27" s="266"/>
      <c r="AE27" s="266"/>
      <c r="AF27" s="266"/>
      <c r="AG27" s="266"/>
      <c r="AH27" s="266"/>
      <c r="AI27" s="269"/>
      <c r="AJ27" s="269"/>
      <c r="AK27" s="269"/>
      <c r="AL27" s="269"/>
      <c r="AM27" s="269"/>
      <c r="AN27" s="277"/>
      <c r="AO27" s="9"/>
      <c r="AQ27" s="263"/>
      <c r="AR27" s="266"/>
      <c r="AS27" s="266"/>
      <c r="AT27" s="266"/>
      <c r="AU27" s="266"/>
      <c r="AV27" s="266"/>
      <c r="AW27" s="269"/>
      <c r="AX27" s="269"/>
      <c r="AY27" s="269"/>
      <c r="AZ27" s="269"/>
      <c r="BA27" s="269"/>
      <c r="BB27" s="277"/>
      <c r="BC27" s="9"/>
    </row>
    <row r="28" spans="1:63" ht="6.75" customHeight="1" thickBot="1" x14ac:dyDescent="0.25">
      <c r="A28" s="270"/>
      <c r="B28" s="258"/>
      <c r="C28" s="259"/>
      <c r="D28" s="259"/>
      <c r="E28" s="259"/>
      <c r="F28" s="259"/>
      <c r="G28" s="259"/>
      <c r="H28" s="259"/>
      <c r="I28" s="259"/>
      <c r="J28" s="259"/>
      <c r="K28" s="260"/>
      <c r="L28" s="262"/>
      <c r="M28" s="14"/>
      <c r="AO28" s="9"/>
      <c r="BC28" s="9"/>
    </row>
    <row r="29" spans="1:63" ht="6.75" customHeight="1" thickBot="1" x14ac:dyDescent="0.25">
      <c r="A29" s="263" t="str">
        <f>VLOOKUP(VLOOKUP($A$5,'Start List'!$J$9:$Q$14,8,FALSE)&amp;A27,Data!$D$2:$H$97,2,FALSE)</f>
        <v/>
      </c>
      <c r="B29" s="274"/>
      <c r="C29" s="271"/>
      <c r="D29" s="271"/>
      <c r="E29" s="271"/>
      <c r="F29" s="271"/>
      <c r="G29" s="268">
        <f>IF(B29&gt;B31,2,IF(AND(B31=B29,B29&gt;0),1,0))</f>
        <v>0</v>
      </c>
      <c r="H29" s="268">
        <f>IF(C29&gt;C31,2,IF(AND(C31=C29,C29&gt;0),1,0))</f>
        <v>0</v>
      </c>
      <c r="I29" s="268">
        <f>IF(D29&gt;D31,2,IF(AND(D31=D29,D29&gt;0),1,0))</f>
        <v>0</v>
      </c>
      <c r="J29" s="268">
        <f>IF(E29&gt;E31,2,IF(AND(E31=E29,E29&gt;0),1,0))</f>
        <v>0</v>
      </c>
      <c r="K29" s="268">
        <f>IF(F29&gt;F31,2,IF(AND(F31=F29,F29&gt;0),1,0))</f>
        <v>0</v>
      </c>
      <c r="L29" s="272">
        <f>SUM(G29:K30)</f>
        <v>0</v>
      </c>
      <c r="M29" s="9"/>
      <c r="AO29" s="9"/>
      <c r="AQ29" s="22"/>
      <c r="BC29" s="9"/>
    </row>
    <row r="30" spans="1:63" ht="6.75" customHeight="1" x14ac:dyDescent="0.2">
      <c r="A30" s="263"/>
      <c r="B30" s="264"/>
      <c r="C30" s="266"/>
      <c r="D30" s="266"/>
      <c r="E30" s="266"/>
      <c r="F30" s="266"/>
      <c r="G30" s="269"/>
      <c r="H30" s="269"/>
      <c r="I30" s="269"/>
      <c r="J30" s="269"/>
      <c r="K30" s="269"/>
      <c r="L30" s="273"/>
      <c r="M30" s="15"/>
      <c r="O30" s="254">
        <f ca="1">IF(B33="bye to the next round",A27,IF(AND(L29&gt;L31,L29&gt;4),A27,IF(AND(L31&gt;L29,L31&gt;4),A33,IF(AND(L29=5,L31=5),MIN(A27,A33)," "))))</f>
        <v>4</v>
      </c>
      <c r="P30" s="255" t="str">
        <f ca="1">IF(O30=" "," ",IFERROR(VLOOKUP(LARGE(INDIRECT(VLOOKUP($A$5,'Start List'!$J$9:$Q$14,5,FALSE)),O30),'Start List'!$B$15:$V$139,3,FALSE),"bye to the next round"))</f>
        <v>Baborák František</v>
      </c>
      <c r="Q30" s="256"/>
      <c r="R30" s="256"/>
      <c r="S30" s="256"/>
      <c r="T30" s="256"/>
      <c r="U30" s="256"/>
      <c r="V30" s="256"/>
      <c r="W30" s="256"/>
      <c r="X30" s="256"/>
      <c r="Y30" s="257"/>
      <c r="Z30" s="261" t="str">
        <f ca="1">IFERROR(VLOOKUP(LARGE(INDIRECT(VLOOKUP($A$5,'Start List'!$J$9:$Q$14,5,FALSE)),'Senior Men'!O30),'Start List'!$B$15:$V$139,7,FALSE)," ")</f>
        <v xml:space="preserve"> </v>
      </c>
      <c r="AA30" s="16"/>
      <c r="AO30" s="9"/>
      <c r="AQ30" s="254" t="str">
        <f>IF(AND(AN64&gt;AN66,AN64&gt;4),AC55,IF(AND(AN66&gt;AN64,AN66&gt;4),AC75,IF(AND(AN64=5,AN66=5),MIN(AC55,AC75)," ")))</f>
        <v xml:space="preserve"> </v>
      </c>
      <c r="AR30" s="255" t="str">
        <f ca="1">IF(AQ30=" "," ",IFERROR(VLOOKUP(LARGE(INDIRECT(VLOOKUP($A$5,'Start List'!$J$9:$Q$14,5,FALSE)),AQ30),'Start List'!$B$15:$V$139,3,FALSE),"bye to the next round"))</f>
        <v xml:space="preserve"> </v>
      </c>
      <c r="AS30" s="256"/>
      <c r="AT30" s="256"/>
      <c r="AU30" s="256"/>
      <c r="AV30" s="256"/>
      <c r="AW30" s="256"/>
      <c r="AX30" s="256"/>
      <c r="AY30" s="256"/>
      <c r="AZ30" s="256"/>
      <c r="BA30" s="257"/>
      <c r="BB30" s="261" t="str">
        <f ca="1">IFERROR(VLOOKUP(LARGE(INDIRECT(VLOOKUP($A$5,'Start List'!$J$9:$Q$14,5,FALSE)),'Senior Men'!AQ30),'Start List'!$B$15:$V$139,7,FALSE)," ")</f>
        <v xml:space="preserve"> </v>
      </c>
      <c r="BC30" s="20"/>
    </row>
    <row r="31" spans="1:63" ht="6.75" customHeight="1" thickBot="1" x14ac:dyDescent="0.25">
      <c r="A31" s="263" t="str">
        <f>VLOOKUP(VLOOKUP($A$5,'Start List'!$J$9:$Q$14,8,FALSE)&amp;A33,Data!$D$2:$H$97,2,FALSE)</f>
        <v/>
      </c>
      <c r="B31" s="264"/>
      <c r="C31" s="266"/>
      <c r="D31" s="266"/>
      <c r="E31" s="266"/>
      <c r="F31" s="266"/>
      <c r="G31" s="268">
        <f>IF(B29&lt;B31,2,IF(AND(B31=B29,B31&gt;0),1,0))</f>
        <v>0</v>
      </c>
      <c r="H31" s="268">
        <f>IF(C29&lt;C31,2,IF(AND(C31=C29,C31&gt;0),1,0))</f>
        <v>0</v>
      </c>
      <c r="I31" s="268">
        <f>IF(D29&lt;D31,2,IF(AND(D31=D29,D31&gt;0),1,0))</f>
        <v>0</v>
      </c>
      <c r="J31" s="268">
        <f>IF(E29&lt;E31,2,IF(AND(E31=E29,E31&gt;0),1,0))</f>
        <v>0</v>
      </c>
      <c r="K31" s="268">
        <f>IF(F29&lt;F31,2,IF(AND(F31=F29,F31&gt;0),1,0))</f>
        <v>0</v>
      </c>
      <c r="L31" s="272">
        <f>SUM(G31:K32)</f>
        <v>0</v>
      </c>
      <c r="M31" s="15"/>
      <c r="N31" s="10"/>
      <c r="O31" s="254"/>
      <c r="P31" s="258"/>
      <c r="Q31" s="259"/>
      <c r="R31" s="259"/>
      <c r="S31" s="259"/>
      <c r="T31" s="259"/>
      <c r="U31" s="259"/>
      <c r="V31" s="259"/>
      <c r="W31" s="259"/>
      <c r="X31" s="259"/>
      <c r="Y31" s="260"/>
      <c r="Z31" s="262"/>
      <c r="AA31" s="12"/>
      <c r="AO31" s="9"/>
      <c r="AQ31" s="254"/>
      <c r="AR31" s="258"/>
      <c r="AS31" s="259"/>
      <c r="AT31" s="259"/>
      <c r="AU31" s="259"/>
      <c r="AV31" s="259"/>
      <c r="AW31" s="259"/>
      <c r="AX31" s="259"/>
      <c r="AY31" s="259"/>
      <c r="AZ31" s="259"/>
      <c r="BA31" s="260"/>
      <c r="BB31" s="262"/>
      <c r="BC31" s="23"/>
    </row>
    <row r="32" spans="1:63" ht="6.75" customHeight="1" thickBot="1" x14ac:dyDescent="0.25">
      <c r="A32" s="263"/>
      <c r="B32" s="265"/>
      <c r="C32" s="267"/>
      <c r="D32" s="267"/>
      <c r="E32" s="267"/>
      <c r="F32" s="267"/>
      <c r="G32" s="269"/>
      <c r="H32" s="269"/>
      <c r="I32" s="269"/>
      <c r="J32" s="269"/>
      <c r="K32" s="269"/>
      <c r="L32" s="273"/>
      <c r="M32" s="15"/>
      <c r="O32" s="7"/>
      <c r="AA32" s="9"/>
      <c r="AO32" s="9"/>
      <c r="BC32" s="23"/>
    </row>
    <row r="33" spans="1:63" ht="6.75" customHeight="1" x14ac:dyDescent="0.2">
      <c r="A33" s="254">
        <v>13</v>
      </c>
      <c r="B33" s="255" t="str">
        <f ca="1">IF(A33=" "," ",IFERROR(VLOOKUP(LARGE(INDIRECT(VLOOKUP($A$5,'Start List'!$J$9:$Q$14,5,FALSE)),A33),'Start List'!$B$15:$V$139,3,FALSE),"bye to the next round"))</f>
        <v>bye to the next round</v>
      </c>
      <c r="C33" s="256"/>
      <c r="D33" s="256"/>
      <c r="E33" s="256"/>
      <c r="F33" s="256"/>
      <c r="G33" s="256"/>
      <c r="H33" s="256"/>
      <c r="I33" s="256"/>
      <c r="J33" s="256"/>
      <c r="K33" s="257"/>
      <c r="L33" s="261" t="str">
        <f ca="1">IFERROR(VLOOKUP(LARGE(INDIRECT(VLOOKUP($A$5,'Start List'!$J$9:$Q$14,5,FALSE)),'Senior Men'!A33),'Start List'!$B$15:$V$139,7,FALSE)," ")</f>
        <v xml:space="preserve"> </v>
      </c>
      <c r="M33" s="8"/>
      <c r="O33" s="7"/>
      <c r="AA33" s="9"/>
      <c r="AO33" s="9"/>
      <c r="BC33" s="23"/>
    </row>
    <row r="34" spans="1:63" ht="6.75" customHeight="1" thickBot="1" x14ac:dyDescent="0.25">
      <c r="A34" s="254"/>
      <c r="B34" s="258"/>
      <c r="C34" s="259"/>
      <c r="D34" s="259"/>
      <c r="E34" s="259"/>
      <c r="F34" s="259"/>
      <c r="G34" s="259"/>
      <c r="H34" s="259"/>
      <c r="I34" s="259"/>
      <c r="J34" s="259"/>
      <c r="K34" s="260"/>
      <c r="L34" s="262"/>
      <c r="M34" s="13"/>
      <c r="O34" s="263" t="str">
        <f>VLOOKUP(VLOOKUP($A$5,'Start List'!$J$9:$Q$14,8,FALSE)&amp;A27,Data!$D$2:$H$97,3,FALSE)</f>
        <v/>
      </c>
      <c r="P34" s="266"/>
      <c r="Q34" s="266"/>
      <c r="R34" s="266"/>
      <c r="S34" s="266"/>
      <c r="T34" s="266"/>
      <c r="U34" s="269">
        <f>IF(P34&gt;P36,2,IF(AND(P36=P34,P34&gt;0),1,0))</f>
        <v>0</v>
      </c>
      <c r="V34" s="269">
        <f>IF(Q34&gt;Q36,2,IF(AND(Q36=Q34,Q34&gt;0),1,0))</f>
        <v>0</v>
      </c>
      <c r="W34" s="269">
        <f>IF(R34&gt;R36,2,IF(AND(R36=R34,R34&gt;0),1,0))</f>
        <v>0</v>
      </c>
      <c r="X34" s="269">
        <f>IF(S34&gt;S36,2,IF(AND(S36=S34,S34&gt;0),1,0))</f>
        <v>0</v>
      </c>
      <c r="Y34" s="269">
        <f>IF(T34&gt;T36,2,IF(AND(T36=T34,T34&gt;0),1,0))</f>
        <v>0</v>
      </c>
      <c r="Z34" s="277">
        <f>SUM(U34:Y35)</f>
        <v>0</v>
      </c>
      <c r="AA34" s="9"/>
      <c r="AO34" s="9"/>
      <c r="BC34" s="23"/>
    </row>
    <row r="35" spans="1:63" ht="6.75" customHeight="1" x14ac:dyDescent="0.2">
      <c r="A35" s="30"/>
      <c r="O35" s="263"/>
      <c r="P35" s="266"/>
      <c r="Q35" s="266"/>
      <c r="R35" s="266"/>
      <c r="S35" s="266"/>
      <c r="T35" s="266"/>
      <c r="U35" s="269"/>
      <c r="V35" s="269"/>
      <c r="W35" s="269"/>
      <c r="X35" s="269"/>
      <c r="Y35" s="269"/>
      <c r="Z35" s="277"/>
      <c r="AA35" s="9"/>
      <c r="AC35" s="254" t="str">
        <f ca="1">IF(P40="bye to the next round",O30,IF(AND(Z34&gt;Z36,Z34&gt;4),O30,IF(AND(Z36&gt;Z34,Z36&gt;4),O40,IF(AND(Z34=5,Z36=5),MIN(O30,O40)," "))))</f>
        <v xml:space="preserve"> </v>
      </c>
      <c r="AD35" s="255" t="str">
        <f ca="1">IF(AC35=" "," ",IFERROR(VLOOKUP(LARGE(INDIRECT(VLOOKUP($A$5,'Start List'!$J$9:$Q$14,5,FALSE)),AC35),'Start List'!$B$15:$V$139,3,FALSE),"bye to the next round"))</f>
        <v xml:space="preserve"> </v>
      </c>
      <c r="AE35" s="256"/>
      <c r="AF35" s="256"/>
      <c r="AG35" s="256"/>
      <c r="AH35" s="256"/>
      <c r="AI35" s="256"/>
      <c r="AJ35" s="256"/>
      <c r="AK35" s="256"/>
      <c r="AL35" s="256"/>
      <c r="AM35" s="257"/>
      <c r="AN35" s="275" t="str">
        <f ca="1">IFERROR(VLOOKUP(LARGE(INDIRECT(VLOOKUP($A$5,'Start List'!$J$9:$Q$14,5,FALSE)),'Senior Men'!AC35),'Start List'!$B$15:$V$139,7,FALSE)," ")</f>
        <v xml:space="preserve"> </v>
      </c>
      <c r="AO35" s="8"/>
      <c r="BC35" s="23"/>
    </row>
    <row r="36" spans="1:63" ht="6.75" customHeight="1" thickBot="1" x14ac:dyDescent="0.25">
      <c r="A36" s="29"/>
      <c r="B36" s="29"/>
      <c r="C36" s="29"/>
      <c r="D36" s="29"/>
      <c r="E36" s="29"/>
      <c r="F36" s="29"/>
      <c r="G36" s="29"/>
      <c r="H36" s="29"/>
      <c r="I36" s="29"/>
      <c r="J36" s="29"/>
      <c r="K36" s="29"/>
      <c r="L36" s="29"/>
      <c r="M36" s="29"/>
      <c r="N36" s="29"/>
      <c r="O36" s="263" t="str">
        <f>VLOOKUP(VLOOKUP($A$5,'Start List'!$J$9:$Q$14,8,FALSE)&amp;A43,Data!$D$2:$H$97,3,FALSE)</f>
        <v/>
      </c>
      <c r="P36" s="266"/>
      <c r="Q36" s="266"/>
      <c r="R36" s="266"/>
      <c r="S36" s="266"/>
      <c r="T36" s="266"/>
      <c r="U36" s="269">
        <f>IF(P34&lt;P36,2,IF(AND(P36=P34,P36&gt;0),1,0))</f>
        <v>0</v>
      </c>
      <c r="V36" s="269">
        <f>IF(Q34&lt;Q36,2,IF(AND(Q36=Q34,Q36&gt;0),1,0))</f>
        <v>0</v>
      </c>
      <c r="W36" s="269">
        <f>IF(R34&lt;R36,2,IF(AND(R36=R34,R36&gt;0),1,0))</f>
        <v>0</v>
      </c>
      <c r="X36" s="269">
        <f>IF(S34&lt;S36,2,IF(AND(S36=S34,S36&gt;0),1,0))</f>
        <v>0</v>
      </c>
      <c r="Y36" s="269">
        <f>IF(T34&lt;T36,2,IF(AND(T36=T34,T36&gt;0),1,0))</f>
        <v>0</v>
      </c>
      <c r="Z36" s="277">
        <f>SUM(U36:Y37)</f>
        <v>0</v>
      </c>
      <c r="AA36" s="17"/>
      <c r="AB36" s="19"/>
      <c r="AC36" s="254"/>
      <c r="AD36" s="258"/>
      <c r="AE36" s="259"/>
      <c r="AF36" s="259"/>
      <c r="AG36" s="259"/>
      <c r="AH36" s="259"/>
      <c r="AI36" s="259"/>
      <c r="AJ36" s="259"/>
      <c r="AK36" s="259"/>
      <c r="AL36" s="259"/>
      <c r="AM36" s="260"/>
      <c r="AN36" s="276"/>
      <c r="AO36" s="13"/>
      <c r="BC36" s="23"/>
    </row>
    <row r="37" spans="1:63" ht="6.75" customHeight="1" x14ac:dyDescent="0.2">
      <c r="A37" s="254">
        <v>5</v>
      </c>
      <c r="B37" s="255" t="str">
        <f ca="1">IF(A37=" "," ",IFERROR(VLOOKUP(LARGE(INDIRECT(VLOOKUP($A$5,'Start List'!$J$9:$Q$14,5,FALSE)),A37),'Start List'!$B$15:$V$139,3,FALSE),"bye to the next round"))</f>
        <v>Palotai Gyula</v>
      </c>
      <c r="C37" s="256"/>
      <c r="D37" s="256"/>
      <c r="E37" s="256"/>
      <c r="F37" s="256"/>
      <c r="G37" s="256"/>
      <c r="H37" s="256"/>
      <c r="I37" s="256"/>
      <c r="J37" s="256"/>
      <c r="K37" s="257"/>
      <c r="L37" s="261" t="str">
        <f ca="1">IFERROR(VLOOKUP(LARGE(INDIRECT(VLOOKUP($A$5,'Start List'!$J$9:$Q$14,5,FALSE)),'Senior Men'!A37),'Start List'!$B$15:$V$139,7,FALSE)," ")</f>
        <v xml:space="preserve"> </v>
      </c>
      <c r="M37" s="2"/>
      <c r="N37" s="5"/>
      <c r="O37" s="263"/>
      <c r="P37" s="266"/>
      <c r="Q37" s="266"/>
      <c r="R37" s="266"/>
      <c r="S37" s="266"/>
      <c r="T37" s="266"/>
      <c r="U37" s="269"/>
      <c r="V37" s="269"/>
      <c r="W37" s="269"/>
      <c r="X37" s="269"/>
      <c r="Y37" s="269"/>
      <c r="Z37" s="277"/>
      <c r="AA37" s="18"/>
      <c r="AB37" s="1"/>
      <c r="BC37" s="23"/>
    </row>
    <row r="38" spans="1:63" ht="6.75" customHeight="1" thickBot="1" x14ac:dyDescent="0.25">
      <c r="A38" s="270"/>
      <c r="B38" s="258"/>
      <c r="C38" s="259"/>
      <c r="D38" s="259"/>
      <c r="E38" s="259"/>
      <c r="F38" s="259"/>
      <c r="G38" s="259"/>
      <c r="H38" s="259"/>
      <c r="I38" s="259"/>
      <c r="J38" s="259"/>
      <c r="K38" s="260"/>
      <c r="L38" s="262"/>
      <c r="M38" s="14"/>
      <c r="AA38" s="9"/>
      <c r="BC38" s="23"/>
    </row>
    <row r="39" spans="1:63" ht="6.75" customHeight="1" thickBot="1" x14ac:dyDescent="0.25">
      <c r="A39" s="263" t="str">
        <f>VLOOKUP(VLOOKUP($A$5,'Start List'!$J$9:$Q$14,8,FALSE)&amp;A37,Data!$D$2:$H$97,2,FALSE)</f>
        <v/>
      </c>
      <c r="B39" s="274"/>
      <c r="C39" s="271"/>
      <c r="D39" s="271"/>
      <c r="E39" s="271"/>
      <c r="F39" s="271"/>
      <c r="G39" s="268">
        <f>IF(B39&gt;B41,2,IF(AND(B41=B39,B39&gt;0),1,0))</f>
        <v>0</v>
      </c>
      <c r="H39" s="268">
        <f>IF(C39&gt;C41,2,IF(AND(C41=C39,C39&gt;0),1,0))</f>
        <v>0</v>
      </c>
      <c r="I39" s="268">
        <f>IF(D39&gt;D41,2,IF(AND(D41=D39,D39&gt;0),1,0))</f>
        <v>0</v>
      </c>
      <c r="J39" s="268">
        <f>IF(E39&gt;E41,2,IF(AND(E41=E39,E39&gt;0),1,0))</f>
        <v>0</v>
      </c>
      <c r="K39" s="268">
        <f>IF(F39&gt;F41,2,IF(AND(F41=F39,F39&gt;0),1,0))</f>
        <v>0</v>
      </c>
      <c r="L39" s="272">
        <f>SUM(G39:K40)</f>
        <v>0</v>
      </c>
      <c r="M39" s="9"/>
      <c r="AA39" s="9"/>
      <c r="BC39" s="23"/>
    </row>
    <row r="40" spans="1:63" ht="6.75" customHeight="1" x14ac:dyDescent="0.2">
      <c r="A40" s="263"/>
      <c r="B40" s="264"/>
      <c r="C40" s="266"/>
      <c r="D40" s="266"/>
      <c r="E40" s="266"/>
      <c r="F40" s="266"/>
      <c r="G40" s="269"/>
      <c r="H40" s="269"/>
      <c r="I40" s="269"/>
      <c r="J40" s="269"/>
      <c r="K40" s="269"/>
      <c r="L40" s="273"/>
      <c r="M40" s="15"/>
      <c r="O40" s="254">
        <f ca="1">IF(B43="bye to the next round",A37,IF(AND(L39&gt;L41,L39&gt;4),A37,IF(AND(L41&gt;L39,L41&gt;4),A43,IF(AND(L39=5,L41=5),MIN(A37,A43)," "))))</f>
        <v>5</v>
      </c>
      <c r="P40" s="255" t="str">
        <f ca="1">IF(O40=" "," ",IFERROR(VLOOKUP(LARGE(INDIRECT(VLOOKUP($A$5,'Start List'!$J$9:$Q$14,5,FALSE)),O40),'Start List'!$B$15:$V$139,3,FALSE),"bye to the next round"))</f>
        <v>Palotai Gyula</v>
      </c>
      <c r="Q40" s="256"/>
      <c r="R40" s="256"/>
      <c r="S40" s="256"/>
      <c r="T40" s="256"/>
      <c r="U40" s="256"/>
      <c r="V40" s="256"/>
      <c r="W40" s="256"/>
      <c r="X40" s="256"/>
      <c r="Y40" s="257"/>
      <c r="Z40" s="261" t="str">
        <f ca="1">IFERROR(VLOOKUP(LARGE(INDIRECT(VLOOKUP($A$5,'Start List'!$J$9:$Q$14,5,FALSE)),'Senior Men'!O40),'Start List'!$B$15:$V$139,7,FALSE)," ")</f>
        <v xml:space="preserve"> </v>
      </c>
      <c r="AA40" s="8"/>
      <c r="BC40" s="23"/>
      <c r="BE40" s="278" t="str">
        <f>VLOOKUP("Stand",Translation!$A$1:$E$57,Data!$AP$2,FALSE)</f>
        <v>Final Standings</v>
      </c>
      <c r="BF40" s="278"/>
      <c r="BG40" s="278"/>
      <c r="BH40" s="278"/>
      <c r="BI40" s="278"/>
      <c r="BJ40" s="278"/>
      <c r="BK40" s="278"/>
    </row>
    <row r="41" spans="1:63" ht="6.75" customHeight="1" thickBot="1" x14ac:dyDescent="0.25">
      <c r="A41" s="263" t="str">
        <f>VLOOKUP(VLOOKUP($A$5,'Start List'!$J$9:$Q$14,8,FALSE)&amp;A43,Data!$D$2:$H$97,2,FALSE)</f>
        <v/>
      </c>
      <c r="B41" s="264"/>
      <c r="C41" s="266"/>
      <c r="D41" s="266"/>
      <c r="E41" s="266"/>
      <c r="F41" s="266"/>
      <c r="G41" s="268">
        <f>IF(B39&lt;B41,2,IF(AND(B41=B39,B41&gt;0),1,0))</f>
        <v>0</v>
      </c>
      <c r="H41" s="268">
        <f>IF(C39&lt;C41,2,IF(AND(C41=C39,C41&gt;0),1,0))</f>
        <v>0</v>
      </c>
      <c r="I41" s="268">
        <f>IF(D39&lt;D41,2,IF(AND(D41=D39,D41&gt;0),1,0))</f>
        <v>0</v>
      </c>
      <c r="J41" s="268">
        <f>IF(E39&lt;E41,2,IF(AND(E41=E39,E41&gt;0),1,0))</f>
        <v>0</v>
      </c>
      <c r="K41" s="268">
        <f>IF(F39&lt;F41,2,IF(AND(F41=F39,F41&gt;0),1,0))</f>
        <v>0</v>
      </c>
      <c r="L41" s="272">
        <f>SUM(G41:K42)</f>
        <v>0</v>
      </c>
      <c r="M41" s="15"/>
      <c r="N41" s="10"/>
      <c r="O41" s="254"/>
      <c r="P41" s="258"/>
      <c r="Q41" s="259"/>
      <c r="R41" s="259"/>
      <c r="S41" s="259"/>
      <c r="T41" s="259"/>
      <c r="U41" s="259"/>
      <c r="V41" s="259"/>
      <c r="W41" s="259"/>
      <c r="X41" s="259"/>
      <c r="Y41" s="260"/>
      <c r="Z41" s="262"/>
      <c r="AA41" s="13"/>
      <c r="BE41" s="278"/>
      <c r="BF41" s="278"/>
      <c r="BG41" s="278"/>
      <c r="BH41" s="278"/>
      <c r="BI41" s="278"/>
      <c r="BJ41" s="278"/>
      <c r="BK41" s="278"/>
    </row>
    <row r="42" spans="1:63" ht="6.75" customHeight="1" thickBot="1" x14ac:dyDescent="0.25">
      <c r="A42" s="263"/>
      <c r="B42" s="265"/>
      <c r="C42" s="267"/>
      <c r="D42" s="267"/>
      <c r="E42" s="267"/>
      <c r="F42" s="267"/>
      <c r="G42" s="269"/>
      <c r="H42" s="269"/>
      <c r="I42" s="269"/>
      <c r="J42" s="269"/>
      <c r="K42" s="269"/>
      <c r="L42" s="273"/>
      <c r="M42" s="15"/>
      <c r="O42" s="7"/>
      <c r="BE42" s="280">
        <v>1</v>
      </c>
      <c r="BF42" s="282" t="str">
        <f ca="1">BF25</f>
        <v xml:space="preserve"> </v>
      </c>
      <c r="BG42" s="282"/>
      <c r="BH42" s="282"/>
      <c r="BI42" s="282"/>
      <c r="BJ42" s="282"/>
      <c r="BK42" s="284" t="str">
        <f ca="1">BK25</f>
        <v xml:space="preserve"> </v>
      </c>
    </row>
    <row r="43" spans="1:63" ht="6.75" customHeight="1" x14ac:dyDescent="0.2">
      <c r="A43" s="254">
        <v>12</v>
      </c>
      <c r="B43" s="255" t="str">
        <f ca="1">IF(A43=" "," ",IFERROR(VLOOKUP(LARGE(INDIRECT(VLOOKUP($A$5,'Start List'!$J$9:$Q$14,5,FALSE)),A43),'Start List'!$B$15:$V$139,3,FALSE),"bye to the next round"))</f>
        <v>bye to the next round</v>
      </c>
      <c r="C43" s="256"/>
      <c r="D43" s="256"/>
      <c r="E43" s="256"/>
      <c r="F43" s="256"/>
      <c r="G43" s="256"/>
      <c r="H43" s="256"/>
      <c r="I43" s="256"/>
      <c r="J43" s="256"/>
      <c r="K43" s="257"/>
      <c r="L43" s="261" t="str">
        <f ca="1">IFERROR(VLOOKUP(LARGE(INDIRECT(VLOOKUP($A$5,'Start List'!$J$9:$Q$14,5,FALSE)),'Senior Men'!A43),'Start List'!$B$15:$V$139,7,FALSE)," ")</f>
        <v xml:space="preserve"> </v>
      </c>
      <c r="M43" s="8"/>
      <c r="O43" s="7"/>
      <c r="BE43" s="281"/>
      <c r="BF43" s="283"/>
      <c r="BG43" s="283"/>
      <c r="BH43" s="283"/>
      <c r="BI43" s="283"/>
      <c r="BJ43" s="283"/>
      <c r="BK43" s="285"/>
    </row>
    <row r="44" spans="1:63" ht="6.75" customHeight="1" thickBot="1" x14ac:dyDescent="0.25">
      <c r="A44" s="254"/>
      <c r="B44" s="258"/>
      <c r="C44" s="259"/>
      <c r="D44" s="259"/>
      <c r="E44" s="259"/>
      <c r="F44" s="259"/>
      <c r="G44" s="259"/>
      <c r="H44" s="259"/>
      <c r="I44" s="259"/>
      <c r="J44" s="259"/>
      <c r="K44" s="260"/>
      <c r="L44" s="262"/>
      <c r="M44" s="13"/>
      <c r="BE44" s="286">
        <v>2</v>
      </c>
      <c r="BF44" s="283" t="str">
        <f>IF(BE25=" "," ",IF(BE25=AQ20,AR30,AR20))</f>
        <v xml:space="preserve"> </v>
      </c>
      <c r="BG44" s="283"/>
      <c r="BH44" s="283"/>
      <c r="BI44" s="283"/>
      <c r="BJ44" s="283"/>
      <c r="BK44" s="285" t="str">
        <f>IF(BE25=" "," ",IF(BE25=AQ20,BB30,BB20))</f>
        <v xml:space="preserve"> </v>
      </c>
    </row>
    <row r="45" spans="1:63" ht="6.75" customHeight="1" x14ac:dyDescent="0.2">
      <c r="A45" s="30"/>
      <c r="BE45" s="286"/>
      <c r="BF45" s="283"/>
      <c r="BG45" s="283"/>
      <c r="BH45" s="283"/>
      <c r="BI45" s="283"/>
      <c r="BJ45" s="283"/>
      <c r="BK45" s="285"/>
    </row>
    <row r="46" spans="1:63" ht="6.75" customHeight="1" thickBo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BE46" s="287">
        <v>3</v>
      </c>
      <c r="BF46" s="283" t="str">
        <f ca="1">BF65</f>
        <v xml:space="preserve"> </v>
      </c>
      <c r="BG46" s="283"/>
      <c r="BH46" s="283"/>
      <c r="BI46" s="283"/>
      <c r="BJ46" s="283"/>
      <c r="BK46" s="285" t="str">
        <f ca="1">BK65</f>
        <v xml:space="preserve"> </v>
      </c>
    </row>
    <row r="47" spans="1:63" ht="6.75" customHeight="1" x14ac:dyDescent="0.2">
      <c r="A47" s="254">
        <v>2</v>
      </c>
      <c r="B47" s="255" t="str">
        <f ca="1">IF(A47=" "," ",IFERROR(VLOOKUP(LARGE(INDIRECT(VLOOKUP($A$5,'Start List'!$J$9:$Q$14,5,FALSE)),A47),'Start List'!$B$15:$V$139,3,FALSE),"bye to the next round"))</f>
        <v>Mátrai István</v>
      </c>
      <c r="C47" s="256"/>
      <c r="D47" s="256"/>
      <c r="E47" s="256"/>
      <c r="F47" s="256"/>
      <c r="G47" s="256"/>
      <c r="H47" s="256"/>
      <c r="I47" s="256"/>
      <c r="J47" s="256"/>
      <c r="K47" s="257"/>
      <c r="L47" s="261" t="str">
        <f ca="1">IFERROR(VLOOKUP(LARGE(INDIRECT(VLOOKUP($A$5,'Start List'!$J$9:$Q$14,5,FALSE)),'Senior Men'!A47),'Start List'!$B$15:$V$139,7,FALSE)," ")</f>
        <v xml:space="preserve"> </v>
      </c>
      <c r="M47" s="2"/>
      <c r="N47" s="5"/>
      <c r="O47" s="11"/>
      <c r="P47" s="1"/>
      <c r="Q47" s="1"/>
      <c r="R47" s="1"/>
      <c r="S47" s="1"/>
      <c r="T47" s="1"/>
      <c r="U47" s="1"/>
      <c r="V47" s="1"/>
      <c r="W47" s="1"/>
      <c r="X47" s="1"/>
      <c r="Y47" s="1"/>
      <c r="Z47" s="1"/>
      <c r="AA47" s="1"/>
      <c r="AB47" s="1"/>
      <c r="BE47" s="287"/>
      <c r="BF47" s="283"/>
      <c r="BG47" s="283"/>
      <c r="BH47" s="283"/>
      <c r="BI47" s="283"/>
      <c r="BJ47" s="283"/>
      <c r="BK47" s="285"/>
    </row>
    <row r="48" spans="1:63" ht="6.75" customHeight="1" thickBot="1" x14ac:dyDescent="0.25">
      <c r="A48" s="270"/>
      <c r="B48" s="258"/>
      <c r="C48" s="259"/>
      <c r="D48" s="259"/>
      <c r="E48" s="259"/>
      <c r="F48" s="259"/>
      <c r="G48" s="259"/>
      <c r="H48" s="259"/>
      <c r="I48" s="259"/>
      <c r="J48" s="259"/>
      <c r="K48" s="260"/>
      <c r="L48" s="262"/>
      <c r="M48" s="14"/>
      <c r="BE48" s="288">
        <v>4</v>
      </c>
      <c r="BF48" s="283" t="str">
        <f>IF(BE65=" "," ",IF(BE65=AQ60,AR70,AR60))</f>
        <v xml:space="preserve"> </v>
      </c>
      <c r="BG48" s="283"/>
      <c r="BH48" s="283"/>
      <c r="BI48" s="283"/>
      <c r="BJ48" s="283"/>
      <c r="BK48" s="285" t="str">
        <f>IF(BE65=" "," ",IF(BE65=AQ60,BB70,BB60))</f>
        <v xml:space="preserve"> </v>
      </c>
    </row>
    <row r="49" spans="1:68" ht="6.75" customHeight="1" thickBot="1" x14ac:dyDescent="0.25">
      <c r="A49" s="263" t="str">
        <f>VLOOKUP(VLOOKUP($A$5,'Start List'!$J$9:$Q$14,8,FALSE)&amp;A47,Data!$D$2:$H$97,2,FALSE)</f>
        <v/>
      </c>
      <c r="B49" s="274"/>
      <c r="C49" s="271"/>
      <c r="D49" s="271"/>
      <c r="E49" s="271"/>
      <c r="F49" s="271"/>
      <c r="G49" s="268">
        <f>IF(B49&gt;B51,2,IF(AND(B51=B49,B49&gt;0),1,0))</f>
        <v>0</v>
      </c>
      <c r="H49" s="268">
        <f>IF(C49&gt;C51,2,IF(AND(C51=C49,C49&gt;0),1,0))</f>
        <v>0</v>
      </c>
      <c r="I49" s="268">
        <f>IF(D49&gt;D51,2,IF(AND(D51=D49,D49&gt;0),1,0))</f>
        <v>0</v>
      </c>
      <c r="J49" s="268">
        <f>IF(E49&gt;E51,2,IF(AND(E51=E49,E49&gt;0),1,0))</f>
        <v>0</v>
      </c>
      <c r="K49" s="268">
        <f>IF(F49&gt;F51,2,IF(AND(F51=F49,F49&gt;0),1,0))</f>
        <v>0</v>
      </c>
      <c r="L49" s="272">
        <f>SUM(G49:K50)</f>
        <v>0</v>
      </c>
      <c r="M49" s="9"/>
      <c r="BE49" s="289"/>
      <c r="BF49" s="290"/>
      <c r="BG49" s="290"/>
      <c r="BH49" s="290"/>
      <c r="BI49" s="290"/>
      <c r="BJ49" s="290"/>
      <c r="BK49" s="291"/>
    </row>
    <row r="50" spans="1:68" ht="6.75" customHeight="1" x14ac:dyDescent="0.2">
      <c r="A50" s="263"/>
      <c r="B50" s="264"/>
      <c r="C50" s="266"/>
      <c r="D50" s="266"/>
      <c r="E50" s="266"/>
      <c r="F50" s="266"/>
      <c r="G50" s="269"/>
      <c r="H50" s="269"/>
      <c r="I50" s="269"/>
      <c r="J50" s="269"/>
      <c r="K50" s="269"/>
      <c r="L50" s="273"/>
      <c r="M50" s="15"/>
      <c r="O50" s="254">
        <f ca="1">IF(B53="bye to the next round",A47,IF(AND(L49&gt;L51,L49&gt;4),A47,IF(AND(L51&gt;L49,L51&gt;4),A53,IF(AND(L49=5,L51=5),MIN(A47,A53)," "))))</f>
        <v>2</v>
      </c>
      <c r="P50" s="255" t="str">
        <f ca="1">IF(O50=" "," ",IFERROR(VLOOKUP(LARGE(INDIRECT(VLOOKUP($A$5,'Start List'!$J$9:$Q$14,5,FALSE)),O50),'Start List'!$B$15:$V$139,3,FALSE),"bye to the next round"))</f>
        <v>Mátrai István</v>
      </c>
      <c r="Q50" s="256"/>
      <c r="R50" s="256"/>
      <c r="S50" s="256"/>
      <c r="T50" s="256"/>
      <c r="U50" s="256"/>
      <c r="V50" s="256"/>
      <c r="W50" s="256"/>
      <c r="X50" s="256"/>
      <c r="Y50" s="257"/>
      <c r="Z50" s="261" t="str">
        <f ca="1">IFERROR(VLOOKUP(LARGE(INDIRECT(VLOOKUP($A$5,'Start List'!$J$9:$Q$14,5,FALSE)),'Senior Men'!O50),'Start List'!$B$15:$V$139,7,FALSE)," ")</f>
        <v xml:space="preserve"> </v>
      </c>
      <c r="AA50" s="16"/>
      <c r="BE50" s="196">
        <f>Data!AW4</f>
        <v>44062</v>
      </c>
      <c r="BF50" s="197"/>
      <c r="BG50" s="197"/>
      <c r="BH50" s="197"/>
      <c r="BI50" s="197"/>
      <c r="BJ50" s="197"/>
      <c r="BK50" s="197"/>
      <c r="BM50" s="7">
        <v>1</v>
      </c>
      <c r="BN50" s="7" t="str">
        <f>L9&amp;":"&amp;L11</f>
        <v>0:0</v>
      </c>
      <c r="BO50" s="7" t="str">
        <f>Z14&amp;":"&amp;Z16</f>
        <v>0:0</v>
      </c>
      <c r="BP50" s="7" t="str">
        <f>AN24&amp;":"&amp;AN26</f>
        <v>0:0</v>
      </c>
    </row>
    <row r="51" spans="1:68" ht="6.75" customHeight="1" thickBot="1" x14ac:dyDescent="0.25">
      <c r="A51" s="263" t="str">
        <f>VLOOKUP(VLOOKUP($A$5,'Start List'!$J$9:$Q$14,8,FALSE)&amp;A53,Data!$D$2:$H$97,2,FALSE)</f>
        <v/>
      </c>
      <c r="B51" s="264"/>
      <c r="C51" s="266"/>
      <c r="D51" s="266"/>
      <c r="E51" s="266"/>
      <c r="F51" s="266"/>
      <c r="G51" s="268">
        <f>IF(B49&lt;B51,2,IF(AND(B51=B49,B51&gt;0),1,0))</f>
        <v>0</v>
      </c>
      <c r="H51" s="268">
        <f>IF(C49&lt;C51,2,IF(AND(C51=C49,C51&gt;0),1,0))</f>
        <v>0</v>
      </c>
      <c r="I51" s="268">
        <f>IF(D49&lt;D51,2,IF(AND(D51=D49,D51&gt;0),1,0))</f>
        <v>0</v>
      </c>
      <c r="J51" s="268">
        <f>IF(E49&lt;E51,2,IF(AND(E51=E49,E51&gt;0),1,0))</f>
        <v>0</v>
      </c>
      <c r="K51" s="268">
        <f>IF(F49&lt;F51,2,IF(AND(F51=F49,F51&gt;0),1,0))</f>
        <v>0</v>
      </c>
      <c r="L51" s="272">
        <f>SUM(G51:K52)</f>
        <v>0</v>
      </c>
      <c r="M51" s="15"/>
      <c r="N51" s="10"/>
      <c r="O51" s="254"/>
      <c r="P51" s="258"/>
      <c r="Q51" s="259"/>
      <c r="R51" s="259"/>
      <c r="S51" s="259"/>
      <c r="T51" s="259"/>
      <c r="U51" s="259"/>
      <c r="V51" s="259"/>
      <c r="W51" s="259"/>
      <c r="X51" s="259"/>
      <c r="Y51" s="260"/>
      <c r="Z51" s="262"/>
      <c r="AA51" s="12"/>
      <c r="BE51" s="199"/>
      <c r="BF51" s="199"/>
      <c r="BG51" s="199"/>
      <c r="BH51" s="199"/>
      <c r="BI51" s="199"/>
      <c r="BJ51" s="199"/>
      <c r="BK51" s="199"/>
      <c r="BM51" s="7">
        <v>2</v>
      </c>
      <c r="BN51" s="7" t="str">
        <f>L49&amp;":"&amp;L51</f>
        <v>0:0</v>
      </c>
      <c r="BO51" s="7" t="str">
        <f>Z54&amp;":"&amp;Z56</f>
        <v>0:0</v>
      </c>
      <c r="BP51" s="7" t="str">
        <f>AN64&amp;":"&amp;AN66</f>
        <v>0:0</v>
      </c>
    </row>
    <row r="52" spans="1:68" ht="6.75" customHeight="1" thickBot="1" x14ac:dyDescent="0.25">
      <c r="A52" s="263"/>
      <c r="B52" s="265"/>
      <c r="C52" s="267"/>
      <c r="D52" s="267"/>
      <c r="E52" s="267"/>
      <c r="F52" s="267"/>
      <c r="G52" s="269"/>
      <c r="H52" s="269"/>
      <c r="I52" s="269"/>
      <c r="J52" s="269"/>
      <c r="K52" s="269"/>
      <c r="L52" s="273"/>
      <c r="M52" s="15"/>
      <c r="O52" s="7"/>
      <c r="AA52" s="9"/>
      <c r="BC52" s="23"/>
      <c r="BE52" s="198">
        <f ca="1">Data!AW5</f>
        <v>44059.610003935188</v>
      </c>
      <c r="BF52" s="199"/>
      <c r="BG52" s="199"/>
      <c r="BH52" s="199"/>
      <c r="BI52" s="199"/>
      <c r="BJ52" s="199"/>
      <c r="BK52" s="199"/>
      <c r="BM52" s="7">
        <v>3</v>
      </c>
      <c r="BN52" s="7" t="str">
        <f>L69&amp;":"&amp;L71</f>
        <v>0:0</v>
      </c>
      <c r="BO52" s="7" t="str">
        <f>Z74&amp;":"&amp;Z76</f>
        <v>0:0</v>
      </c>
      <c r="BP52" s="7" t="str">
        <f>AN66&amp;":"&amp;AN64</f>
        <v>0:0</v>
      </c>
    </row>
    <row r="53" spans="1:68" ht="6.75" customHeight="1" x14ac:dyDescent="0.2">
      <c r="A53" s="254">
        <v>15</v>
      </c>
      <c r="B53" s="255" t="str">
        <f ca="1">IF(A53=" "," ",IFERROR(VLOOKUP(LARGE(INDIRECT(VLOOKUP($A$5,'Start List'!$J$9:$Q$14,5,FALSE)),A53),'Start List'!$B$15:$V$139,3,FALSE),"bye to the next round"))</f>
        <v>bye to the next round</v>
      </c>
      <c r="C53" s="256"/>
      <c r="D53" s="256"/>
      <c r="E53" s="256"/>
      <c r="F53" s="256"/>
      <c r="G53" s="256"/>
      <c r="H53" s="256"/>
      <c r="I53" s="256"/>
      <c r="J53" s="256"/>
      <c r="K53" s="257"/>
      <c r="L53" s="261" t="str">
        <f ca="1">IFERROR(VLOOKUP(LARGE(INDIRECT(VLOOKUP($A$5,'Start List'!$J$9:$Q$14,5,FALSE)),'Senior Men'!A53),'Start List'!$B$15:$V$139,7,FALSE)," ")</f>
        <v xml:space="preserve"> </v>
      </c>
      <c r="M53" s="8"/>
      <c r="O53" s="7"/>
      <c r="AA53" s="9"/>
      <c r="BC53" s="23"/>
      <c r="BM53" s="7">
        <v>4</v>
      </c>
      <c r="BN53" s="7" t="str">
        <f>L29&amp;":"&amp;L31</f>
        <v>0:0</v>
      </c>
      <c r="BO53" s="7" t="str">
        <f>Z34&amp;":"&amp;Z36</f>
        <v>0:0</v>
      </c>
      <c r="BP53" s="7" t="str">
        <f>AN26&amp;":"&amp;AN24</f>
        <v>0:0</v>
      </c>
    </row>
    <row r="54" spans="1:68" ht="6.75" customHeight="1" thickBot="1" x14ac:dyDescent="0.25">
      <c r="A54" s="254"/>
      <c r="B54" s="258"/>
      <c r="C54" s="259"/>
      <c r="D54" s="259"/>
      <c r="E54" s="259"/>
      <c r="F54" s="259"/>
      <c r="G54" s="259"/>
      <c r="H54" s="259"/>
      <c r="I54" s="259"/>
      <c r="J54" s="259"/>
      <c r="K54" s="260"/>
      <c r="L54" s="262"/>
      <c r="M54" s="13"/>
      <c r="O54" s="263" t="str">
        <f>VLOOKUP(VLOOKUP($A$5,'Start List'!$J$9:$Q$14,8,FALSE)&amp;A47,Data!$D$2:$H$97,3,FALSE)</f>
        <v/>
      </c>
      <c r="P54" s="266"/>
      <c r="Q54" s="266"/>
      <c r="R54" s="266"/>
      <c r="S54" s="266"/>
      <c r="T54" s="266"/>
      <c r="U54" s="269">
        <f>IF(P54&gt;P56,2,IF(AND(P56=P54,P54&gt;0),1,0))</f>
        <v>0</v>
      </c>
      <c r="V54" s="269">
        <f>IF(Q54&gt;Q56,2,IF(AND(Q56=Q54,Q54&gt;0),1,0))</f>
        <v>0</v>
      </c>
      <c r="W54" s="269">
        <f>IF(R54&gt;R56,2,IF(AND(R56=R54,R54&gt;0),1,0))</f>
        <v>0</v>
      </c>
      <c r="X54" s="269">
        <f>IF(S54&gt;S56,2,IF(AND(S56=S54,S54&gt;0),1,0))</f>
        <v>0</v>
      </c>
      <c r="Y54" s="269">
        <f>IF(T54&gt;T56,2,IF(AND(T56=T54,T54&gt;0),1,0))</f>
        <v>0</v>
      </c>
      <c r="Z54" s="277">
        <f>SUM(U54:Y55)</f>
        <v>0</v>
      </c>
      <c r="AA54" s="9"/>
      <c r="BC54" s="23"/>
      <c r="BM54" s="7">
        <v>5</v>
      </c>
      <c r="BN54" s="7" t="str">
        <f>L39&amp;":"&amp;L41</f>
        <v>0:0</v>
      </c>
      <c r="BO54" s="7" t="str">
        <f>Z36&amp;":"&amp;Z34</f>
        <v>0:0</v>
      </c>
      <c r="BP54" s="7" t="str">
        <f>BP53</f>
        <v>0:0</v>
      </c>
    </row>
    <row r="55" spans="1:68" ht="6.75" customHeight="1" x14ac:dyDescent="0.2">
      <c r="A55" s="30"/>
      <c r="O55" s="263"/>
      <c r="P55" s="266"/>
      <c r="Q55" s="266"/>
      <c r="R55" s="266"/>
      <c r="S55" s="266"/>
      <c r="T55" s="266"/>
      <c r="U55" s="269"/>
      <c r="V55" s="269"/>
      <c r="W55" s="269"/>
      <c r="X55" s="269"/>
      <c r="Y55" s="269"/>
      <c r="Z55" s="277"/>
      <c r="AA55" s="9"/>
      <c r="AC55" s="254">
        <f ca="1">IF(P60="bye to the next round",O50,IF(AND(Z54&gt;Z56,Z54&gt;4),O50,IF(AND(Z56&gt;Z54,Z56&gt;4),O60,IF(AND(Z54=5,Z56=5),MIN(O50,O60)," "))))</f>
        <v>2</v>
      </c>
      <c r="AD55" s="292" t="str">
        <f ca="1">IF(AC55=" "," ",IFERROR(VLOOKUP(LARGE(INDIRECT(VLOOKUP($A$5,'Start List'!$J$9:$Q$14,5,FALSE)),AC55),'Start List'!$B$15:$V$139,3,FALSE),"bye to the next round"))</f>
        <v>Mátrai István</v>
      </c>
      <c r="AE55" s="293"/>
      <c r="AF55" s="293"/>
      <c r="AG55" s="293"/>
      <c r="AH55" s="293"/>
      <c r="AI55" s="293"/>
      <c r="AJ55" s="293"/>
      <c r="AK55" s="293"/>
      <c r="AL55" s="293"/>
      <c r="AM55" s="294"/>
      <c r="AN55" s="261" t="str">
        <f ca="1">IFERROR(VLOOKUP(LARGE(INDIRECT(VLOOKUP($A$5,'Start List'!$J$9:$Q$14,5,FALSE)),'Senior Men'!AC55),'Start List'!$B$15:$V$139,7,FALSE)," ")</f>
        <v xml:space="preserve"> </v>
      </c>
      <c r="BC55" s="23"/>
      <c r="BM55" s="7">
        <v>6</v>
      </c>
      <c r="BN55" s="7" t="str">
        <f>L79&amp;":"&amp;L81</f>
        <v>0:0</v>
      </c>
      <c r="BO55" s="7" t="str">
        <f>Z76&amp;":"&amp;Z74</f>
        <v>0:0</v>
      </c>
      <c r="BP55" s="7" t="str">
        <f>BP52</f>
        <v>0:0</v>
      </c>
    </row>
    <row r="56" spans="1:68" ht="6.75" customHeight="1" thickBot="1" x14ac:dyDescent="0.25">
      <c r="A56" s="29"/>
      <c r="B56" s="29"/>
      <c r="C56" s="29"/>
      <c r="D56" s="29"/>
      <c r="E56" s="29"/>
      <c r="F56" s="29"/>
      <c r="G56" s="29"/>
      <c r="H56" s="29"/>
      <c r="I56" s="29"/>
      <c r="J56" s="29"/>
      <c r="K56" s="29"/>
      <c r="L56" s="29"/>
      <c r="M56" s="29"/>
      <c r="N56" s="29"/>
      <c r="O56" s="263" t="str">
        <f>VLOOKUP(VLOOKUP($A$5,'Start List'!$J$9:$Q$14,8,FALSE)&amp;A63,Data!$D$2:$H$97,3,FALSE)</f>
        <v/>
      </c>
      <c r="P56" s="266"/>
      <c r="Q56" s="266"/>
      <c r="R56" s="266"/>
      <c r="S56" s="266"/>
      <c r="T56" s="266"/>
      <c r="U56" s="269">
        <f>IF(P54&lt;P56,2,IF(AND(P56=P54,P56&gt;0),1,0))</f>
        <v>0</v>
      </c>
      <c r="V56" s="269">
        <f>IF(Q54&lt;Q56,2,IF(AND(Q56=Q54,Q56&gt;0),1,0))</f>
        <v>0</v>
      </c>
      <c r="W56" s="269">
        <f>IF(R54&lt;R56,2,IF(AND(R56=R54,R56&gt;0),1,0))</f>
        <v>0</v>
      </c>
      <c r="X56" s="269">
        <f>IF(S54&lt;S56,2,IF(AND(S56=S54,S56&gt;0),1,0))</f>
        <v>0</v>
      </c>
      <c r="Y56" s="269">
        <f>IF(T54&lt;T56,2,IF(AND(T56=T54,T56&gt;0),1,0))</f>
        <v>0</v>
      </c>
      <c r="Z56" s="277">
        <f>SUM(U56:Y57)</f>
        <v>0</v>
      </c>
      <c r="AA56" s="17"/>
      <c r="AB56" s="19"/>
      <c r="AC56" s="254"/>
      <c r="AD56" s="295"/>
      <c r="AE56" s="296"/>
      <c r="AF56" s="296"/>
      <c r="AG56" s="296"/>
      <c r="AH56" s="296"/>
      <c r="AI56" s="296"/>
      <c r="AJ56" s="296"/>
      <c r="AK56" s="296"/>
      <c r="AL56" s="296"/>
      <c r="AM56" s="297"/>
      <c r="AN56" s="262"/>
      <c r="AO56" s="14"/>
      <c r="BC56" s="23"/>
      <c r="BM56" s="7">
        <v>7</v>
      </c>
      <c r="BN56" s="7" t="str">
        <f>L59&amp;":"&amp;L61</f>
        <v>0:0</v>
      </c>
      <c r="BO56" s="7" t="str">
        <f>Z56&amp;":"&amp;Z54</f>
        <v>0:0</v>
      </c>
      <c r="BP56" s="7" t="str">
        <f>BP51</f>
        <v>0:0</v>
      </c>
    </row>
    <row r="57" spans="1:68" ht="6.75" customHeight="1" x14ac:dyDescent="0.2">
      <c r="A57" s="254">
        <v>7</v>
      </c>
      <c r="B57" s="255" t="str">
        <f ca="1">IF(A57=" "," ",IFERROR(VLOOKUP(LARGE(INDIRECT(VLOOKUP($A$5,'Start List'!$J$9:$Q$14,5,FALSE)),A57),'Start List'!$B$15:$V$139,3,FALSE),"bye to the next round"))</f>
        <v>bye to the next round</v>
      </c>
      <c r="C57" s="256"/>
      <c r="D57" s="256"/>
      <c r="E57" s="256"/>
      <c r="F57" s="256"/>
      <c r="G57" s="256"/>
      <c r="H57" s="256"/>
      <c r="I57" s="256"/>
      <c r="J57" s="256"/>
      <c r="K57" s="257"/>
      <c r="L57" s="261" t="str">
        <f ca="1">IFERROR(VLOOKUP(LARGE(INDIRECT(VLOOKUP($A$5,'Start List'!$J$9:$Q$14,5,FALSE)),'Senior Men'!A57),'Start List'!$B$15:$V$139,7,FALSE)," ")</f>
        <v xml:space="preserve"> </v>
      </c>
      <c r="M57" s="2"/>
      <c r="N57" s="5"/>
      <c r="O57" s="263"/>
      <c r="P57" s="266"/>
      <c r="Q57" s="266"/>
      <c r="R57" s="266"/>
      <c r="S57" s="266"/>
      <c r="T57" s="266"/>
      <c r="U57" s="269"/>
      <c r="V57" s="269"/>
      <c r="W57" s="269"/>
      <c r="X57" s="269"/>
      <c r="Y57" s="269"/>
      <c r="Z57" s="277"/>
      <c r="AA57" s="18"/>
      <c r="AB57" s="1"/>
      <c r="AO57" s="9"/>
      <c r="AQ57" s="278" t="str">
        <f>VLOOKUP("BMM",Translation!$A$1:$E$57,Data!$AP$2,FALSE)</f>
        <v>Bronze Medal Match</v>
      </c>
      <c r="AR57" s="278"/>
      <c r="AS57" s="278"/>
      <c r="AT57" s="278"/>
      <c r="AU57" s="278"/>
      <c r="AV57" s="278"/>
      <c r="AW57" s="278"/>
      <c r="AX57" s="278"/>
      <c r="AY57" s="278"/>
      <c r="AZ57" s="278"/>
      <c r="BA57" s="278"/>
      <c r="BB57" s="278"/>
      <c r="BC57" s="23"/>
      <c r="BM57" s="7">
        <v>8</v>
      </c>
      <c r="BN57" s="7" t="str">
        <f>L19&amp;":"&amp;L21</f>
        <v>0:0</v>
      </c>
      <c r="BO57" s="7" t="str">
        <f>Z16&amp;":"&amp;Z14</f>
        <v>0:0</v>
      </c>
      <c r="BP57" s="7" t="str">
        <f>BP50</f>
        <v>0:0</v>
      </c>
    </row>
    <row r="58" spans="1:68" ht="6.75" customHeight="1" thickBot="1" x14ac:dyDescent="0.25">
      <c r="A58" s="270"/>
      <c r="B58" s="258"/>
      <c r="C58" s="259"/>
      <c r="D58" s="259"/>
      <c r="E58" s="259"/>
      <c r="F58" s="259"/>
      <c r="G58" s="259"/>
      <c r="H58" s="259"/>
      <c r="I58" s="259"/>
      <c r="J58" s="259"/>
      <c r="K58" s="260"/>
      <c r="L58" s="262"/>
      <c r="M58" s="14"/>
      <c r="AA58" s="9"/>
      <c r="AO58" s="9"/>
      <c r="AQ58" s="278"/>
      <c r="AR58" s="278"/>
      <c r="AS58" s="278"/>
      <c r="AT58" s="278"/>
      <c r="AU58" s="278"/>
      <c r="AV58" s="278"/>
      <c r="AW58" s="278"/>
      <c r="AX58" s="278"/>
      <c r="AY58" s="278"/>
      <c r="AZ58" s="278"/>
      <c r="BA58" s="278"/>
      <c r="BB58" s="278"/>
      <c r="BC58" s="23"/>
      <c r="BM58" s="7">
        <v>9</v>
      </c>
      <c r="BN58" s="7" t="str">
        <f>L21&amp;":"&amp;L19</f>
        <v>0:0</v>
      </c>
      <c r="BO58" s="7" t="str">
        <f>BO57</f>
        <v>0:0</v>
      </c>
      <c r="BP58" s="7" t="str">
        <f>BP50</f>
        <v>0:0</v>
      </c>
    </row>
    <row r="59" spans="1:68" ht="6.75" customHeight="1" thickBot="1" x14ac:dyDescent="0.25">
      <c r="A59" s="263" t="str">
        <f>VLOOKUP(VLOOKUP($A$5,'Start List'!$J$9:$Q$14,8,FALSE)&amp;A57,Data!$D$2:$H$97,2,FALSE)</f>
        <v/>
      </c>
      <c r="B59" s="274"/>
      <c r="C59" s="271"/>
      <c r="D59" s="271"/>
      <c r="E59" s="271"/>
      <c r="F59" s="271"/>
      <c r="G59" s="268">
        <f>IF(B59&gt;B61,2,IF(AND(B61=B59,B59&gt;0),1,0))</f>
        <v>0</v>
      </c>
      <c r="H59" s="268">
        <f>IF(C59&gt;C61,2,IF(AND(C61=C59,C59&gt;0),1,0))</f>
        <v>0</v>
      </c>
      <c r="I59" s="268">
        <f>IF(D59&gt;D61,2,IF(AND(D61=D59,D59&gt;0),1,0))</f>
        <v>0</v>
      </c>
      <c r="J59" s="268">
        <f>IF(E59&gt;E61,2,IF(AND(E61=E59,E59&gt;0),1,0))</f>
        <v>0</v>
      </c>
      <c r="K59" s="268">
        <f>IF(F59&gt;F61,2,IF(AND(F61=F59,F59&gt;0),1,0))</f>
        <v>0</v>
      </c>
      <c r="L59" s="272">
        <f>SUM(G59:K60)</f>
        <v>0</v>
      </c>
      <c r="M59" s="9"/>
      <c r="AA59" s="9"/>
      <c r="AO59" s="9"/>
      <c r="BM59" s="7">
        <v>10</v>
      </c>
      <c r="BN59" s="7" t="str">
        <f>L61&amp;":"&amp;L59</f>
        <v>0:0</v>
      </c>
      <c r="BO59" s="7" t="str">
        <f>BO56</f>
        <v>0:0</v>
      </c>
      <c r="BP59" s="7" t="str">
        <f t="shared" ref="BP59:BP65" si="0">BP51</f>
        <v>0:0</v>
      </c>
    </row>
    <row r="60" spans="1:68" ht="6.75" customHeight="1" x14ac:dyDescent="0.2">
      <c r="A60" s="263"/>
      <c r="B60" s="264"/>
      <c r="C60" s="266"/>
      <c r="D60" s="266"/>
      <c r="E60" s="266"/>
      <c r="F60" s="266"/>
      <c r="G60" s="269"/>
      <c r="H60" s="269"/>
      <c r="I60" s="269"/>
      <c r="J60" s="269"/>
      <c r="K60" s="269"/>
      <c r="L60" s="273"/>
      <c r="M60" s="15"/>
      <c r="O60" s="254">
        <f ca="1">IF(B63="bye to the next round",A57,IF(AND(L59&gt;L61,L59&gt;4),A57,IF(AND(L61&gt;L59,L61&gt;4),A63,IF(AND(L59=5,L61=5),MIN(A57,A63)," "))))</f>
        <v>7</v>
      </c>
      <c r="P60" s="255" t="str">
        <f ca="1">IF(O60=" "," ",IFERROR(VLOOKUP(LARGE(INDIRECT(VLOOKUP($A$5,'Start List'!$J$9:$Q$14,5,FALSE)),O60),'Start List'!$B$15:$V$139,3,FALSE),"bye to the next round"))</f>
        <v>bye to the next round</v>
      </c>
      <c r="Q60" s="256"/>
      <c r="R60" s="256"/>
      <c r="S60" s="256"/>
      <c r="T60" s="256"/>
      <c r="U60" s="256"/>
      <c r="V60" s="256"/>
      <c r="W60" s="256"/>
      <c r="X60" s="256"/>
      <c r="Y60" s="257"/>
      <c r="Z60" s="261" t="str">
        <f ca="1">IFERROR(VLOOKUP(LARGE(INDIRECT(VLOOKUP($A$5,'Start List'!$J$9:$Q$14,5,FALSE)),'Senior Men'!O60),'Start List'!$B$15:$V$139,7,FALSE)," ")</f>
        <v xml:space="preserve"> </v>
      </c>
      <c r="AA60" s="8"/>
      <c r="AO60" s="9"/>
      <c r="AQ60" s="254" t="str">
        <f>IF(AND(AN24&gt;AN26,AN24&gt;4),AC35,IF(AND(AN26&gt;AN24,AN26&gt;4),AC15,IF(AND(AN24=5,AN26=5),MAX(AC15,AC35)," ")))</f>
        <v xml:space="preserve"> </v>
      </c>
      <c r="AR60" s="255" t="str">
        <f ca="1">IF(AQ60=" "," ",IFERROR(VLOOKUP(LARGE(INDIRECT(VLOOKUP($A$5,'Start List'!$J$9:$Q$14,5,FALSE)),AQ60),'Start List'!$B$15:$V$139,3,FALSE),"bye to the next round"))</f>
        <v xml:space="preserve"> </v>
      </c>
      <c r="AS60" s="256"/>
      <c r="AT60" s="256"/>
      <c r="AU60" s="256"/>
      <c r="AV60" s="256"/>
      <c r="AW60" s="256"/>
      <c r="AX60" s="256"/>
      <c r="AY60" s="256"/>
      <c r="AZ60" s="256"/>
      <c r="BA60" s="257"/>
      <c r="BB60" s="261" t="str">
        <f ca="1">IFERROR(VLOOKUP(LARGE(INDIRECT(VLOOKUP($A$5,'Start List'!$J$9:$Q$14,5,FALSE)),'Senior Men'!AQ60),'Start List'!$B$15:$V$139,7,FALSE)," ")</f>
        <v xml:space="preserve"> </v>
      </c>
      <c r="BC60" s="16"/>
      <c r="BM60" s="7">
        <v>11</v>
      </c>
      <c r="BN60" s="7" t="str">
        <f>L81&amp;":"&amp;L79</f>
        <v>0:0</v>
      </c>
      <c r="BO60" s="7" t="str">
        <f>BO55</f>
        <v>0:0</v>
      </c>
      <c r="BP60" s="7" t="str">
        <f t="shared" si="0"/>
        <v>0:0</v>
      </c>
    </row>
    <row r="61" spans="1:68" ht="6.75" customHeight="1" thickBot="1" x14ac:dyDescent="0.25">
      <c r="A61" s="263" t="str">
        <f>VLOOKUP(VLOOKUP($A$5,'Start List'!$J$9:$Q$14,8,FALSE)&amp;A63,Data!$D$2:$H$97,2,FALSE)</f>
        <v/>
      </c>
      <c r="B61" s="264"/>
      <c r="C61" s="266"/>
      <c r="D61" s="266"/>
      <c r="E61" s="266"/>
      <c r="F61" s="266"/>
      <c r="G61" s="268">
        <f>IF(B59&lt;B61,2,IF(AND(B61=B59,B61&gt;0),1,0))</f>
        <v>0</v>
      </c>
      <c r="H61" s="268">
        <f>IF(C59&lt;C61,2,IF(AND(C61=C59,C61&gt;0),1,0))</f>
        <v>0</v>
      </c>
      <c r="I61" s="268">
        <f>IF(D59&lt;D61,2,IF(AND(D61=D59,D61&gt;0),1,0))</f>
        <v>0</v>
      </c>
      <c r="J61" s="268">
        <f>IF(E59&lt;E61,2,IF(AND(E61=E59,E61&gt;0),1,0))</f>
        <v>0</v>
      </c>
      <c r="K61" s="268">
        <f>IF(F59&lt;F61,2,IF(AND(F61=F59,F61&gt;0),1,0))</f>
        <v>0</v>
      </c>
      <c r="L61" s="272">
        <f>SUM(G61:K62)</f>
        <v>0</v>
      </c>
      <c r="M61" s="15"/>
      <c r="N61" s="10"/>
      <c r="O61" s="254"/>
      <c r="P61" s="258"/>
      <c r="Q61" s="259"/>
      <c r="R61" s="259"/>
      <c r="S61" s="259"/>
      <c r="T61" s="259"/>
      <c r="U61" s="259"/>
      <c r="V61" s="259"/>
      <c r="W61" s="259"/>
      <c r="X61" s="259"/>
      <c r="Y61" s="260"/>
      <c r="Z61" s="262"/>
      <c r="AA61" s="13"/>
      <c r="AO61" s="9"/>
      <c r="AQ61" s="254"/>
      <c r="AR61" s="258"/>
      <c r="AS61" s="259"/>
      <c r="AT61" s="259"/>
      <c r="AU61" s="259"/>
      <c r="AV61" s="259"/>
      <c r="AW61" s="259"/>
      <c r="AX61" s="259"/>
      <c r="AY61" s="259"/>
      <c r="AZ61" s="259"/>
      <c r="BA61" s="260"/>
      <c r="BB61" s="262"/>
      <c r="BC61" s="9"/>
      <c r="BM61" s="7">
        <v>12</v>
      </c>
      <c r="BN61" s="7" t="str">
        <f>L41&amp;":"&amp;L39</f>
        <v>0:0</v>
      </c>
      <c r="BO61" s="7" t="str">
        <f>BO54</f>
        <v>0:0</v>
      </c>
      <c r="BP61" s="7" t="str">
        <f t="shared" si="0"/>
        <v>0:0</v>
      </c>
    </row>
    <row r="62" spans="1:68" ht="6.75" customHeight="1" thickBot="1" x14ac:dyDescent="0.25">
      <c r="A62" s="263"/>
      <c r="B62" s="265"/>
      <c r="C62" s="267"/>
      <c r="D62" s="267"/>
      <c r="E62" s="267"/>
      <c r="F62" s="267"/>
      <c r="G62" s="269"/>
      <c r="H62" s="269"/>
      <c r="I62" s="269"/>
      <c r="J62" s="269"/>
      <c r="K62" s="269"/>
      <c r="L62" s="273"/>
      <c r="M62" s="15"/>
      <c r="O62" s="7"/>
      <c r="AO62" s="9"/>
      <c r="BC62" s="26"/>
      <c r="BD62" s="5"/>
      <c r="BM62" s="7">
        <v>13</v>
      </c>
      <c r="BN62" s="7" t="str">
        <f>L31&amp;":"&amp;L29</f>
        <v>0:0</v>
      </c>
      <c r="BO62" s="7" t="str">
        <f>BO53</f>
        <v>0:0</v>
      </c>
      <c r="BP62" s="7" t="str">
        <f t="shared" si="0"/>
        <v>0:0</v>
      </c>
    </row>
    <row r="63" spans="1:68" ht="6.75" customHeight="1" x14ac:dyDescent="0.2">
      <c r="A63" s="254">
        <v>10</v>
      </c>
      <c r="B63" s="255" t="str">
        <f ca="1">IF(A63=" "," ",IFERROR(VLOOKUP(LARGE(INDIRECT(VLOOKUP($A$5,'Start List'!$J$9:$Q$14,5,FALSE)),A63),'Start List'!$B$15:$V$139,3,FALSE),"bye to the next round"))</f>
        <v>bye to the next round</v>
      </c>
      <c r="C63" s="256"/>
      <c r="D63" s="256"/>
      <c r="E63" s="256"/>
      <c r="F63" s="256"/>
      <c r="G63" s="256"/>
      <c r="H63" s="256"/>
      <c r="I63" s="256"/>
      <c r="J63" s="256"/>
      <c r="K63" s="257"/>
      <c r="L63" s="261" t="str">
        <f ca="1">IFERROR(VLOOKUP(LARGE(INDIRECT(VLOOKUP($A$5,'Start List'!$J$9:$Q$14,5,FALSE)),'Senior Men'!A63),'Start List'!$B$15:$V$139,7,FALSE)," ")</f>
        <v xml:space="preserve"> </v>
      </c>
      <c r="M63" s="8"/>
      <c r="O63" s="7"/>
      <c r="AO63" s="9"/>
      <c r="BC63" s="9"/>
      <c r="BM63" s="7">
        <v>14</v>
      </c>
      <c r="BN63" s="7" t="str">
        <f>L71&amp;":"&amp;L69</f>
        <v>0:0</v>
      </c>
      <c r="BO63" s="7" t="str">
        <f>BO52</f>
        <v>0:0</v>
      </c>
      <c r="BP63" s="7" t="str">
        <f t="shared" si="0"/>
        <v>0:0</v>
      </c>
    </row>
    <row r="64" spans="1:68" ht="6.75" customHeight="1" thickBot="1" x14ac:dyDescent="0.25">
      <c r="A64" s="254"/>
      <c r="B64" s="258"/>
      <c r="C64" s="259"/>
      <c r="D64" s="259"/>
      <c r="E64" s="259"/>
      <c r="F64" s="259"/>
      <c r="G64" s="259"/>
      <c r="H64" s="259"/>
      <c r="I64" s="259"/>
      <c r="J64" s="259"/>
      <c r="K64" s="260"/>
      <c r="L64" s="262"/>
      <c r="M64" s="13"/>
      <c r="AC64" s="263">
        <f>VLOOKUP(VLOOKUP($A$5,'Start List'!$J$9:$Q$14,8,FALSE)&amp;A47,Data!$D$2:$H$97,4,FALSE)</f>
        <v>29</v>
      </c>
      <c r="AD64" s="266"/>
      <c r="AE64" s="266"/>
      <c r="AF64" s="266"/>
      <c r="AG64" s="266"/>
      <c r="AH64" s="266"/>
      <c r="AI64" s="269">
        <f>IF(AD64&gt;AD66,2,IF(AND(AD66=AD64,AD64&gt;0),1,0))</f>
        <v>0</v>
      </c>
      <c r="AJ64" s="269">
        <f>IF(AE64&gt;AE66,2,IF(AND(AE66=AE64,AE64&gt;0),1,0))</f>
        <v>0</v>
      </c>
      <c r="AK64" s="269">
        <f>IF(AF64&gt;AF66,2,IF(AND(AF66=AF64,AF64&gt;0),1,0))</f>
        <v>0</v>
      </c>
      <c r="AL64" s="269">
        <f>IF(AG64&gt;AG66,2,IF(AND(AG66=AG64,AG64&gt;0),1,0))</f>
        <v>0</v>
      </c>
      <c r="AM64" s="269">
        <f>IF(AH64&gt;AH66,2,IF(AND(AH66=AH64,AH64&gt;0),1,0))</f>
        <v>0</v>
      </c>
      <c r="AN64" s="277">
        <f>SUM(AI64:AM65)</f>
        <v>0</v>
      </c>
      <c r="AO64" s="9"/>
      <c r="AQ64" s="263">
        <f>VLOOKUP(VLOOKUP($A$5,'Start List'!$J$9:$Q$14,8,FALSE)&amp;A7,Data!$D$2:$H$97,5,FALSE)</f>
        <v>13</v>
      </c>
      <c r="AR64" s="266"/>
      <c r="AS64" s="266"/>
      <c r="AT64" s="266"/>
      <c r="AU64" s="266"/>
      <c r="AV64" s="266"/>
      <c r="AW64" s="269">
        <f>IF(AR64&gt;AR66,2,IF(AND(AR66=AR64,AR64&gt;0),1,0))</f>
        <v>0</v>
      </c>
      <c r="AX64" s="269">
        <f>IF(AS64&gt;AS66,2,IF(AND(AS66=AS64,AS64&gt;0),1,0))</f>
        <v>0</v>
      </c>
      <c r="AY64" s="269">
        <f>IF(AT64&gt;AT66,2,IF(AND(AT66=AT64,AT64&gt;0),1,0))</f>
        <v>0</v>
      </c>
      <c r="AZ64" s="269">
        <f>IF(AU64&gt;AU66,2,IF(AND(AU66=AU64,AU64&gt;0),1,0))</f>
        <v>0</v>
      </c>
      <c r="BA64" s="269">
        <f>IF(AV64&gt;AV66,2,IF(AND(AV66=AV64,AV64&gt;0),1,0))</f>
        <v>0</v>
      </c>
      <c r="BB64" s="277">
        <f>SUM(AW64:BA65)</f>
        <v>0</v>
      </c>
      <c r="BC64" s="9"/>
      <c r="BM64" s="7">
        <v>15</v>
      </c>
      <c r="BN64" s="7" t="str">
        <f>L51&amp;":"&amp;L49</f>
        <v>0:0</v>
      </c>
      <c r="BO64" s="7" t="str">
        <f>BO51</f>
        <v>0:0</v>
      </c>
      <c r="BP64" s="7" t="str">
        <f t="shared" si="0"/>
        <v>0:0</v>
      </c>
    </row>
    <row r="65" spans="1:72" ht="6.75" customHeight="1" x14ac:dyDescent="0.2">
      <c r="A65" s="30"/>
      <c r="AC65" s="263"/>
      <c r="AD65" s="266"/>
      <c r="AE65" s="266"/>
      <c r="AF65" s="266"/>
      <c r="AG65" s="266"/>
      <c r="AH65" s="266"/>
      <c r="AI65" s="269"/>
      <c r="AJ65" s="269"/>
      <c r="AK65" s="269"/>
      <c r="AL65" s="269"/>
      <c r="AM65" s="269"/>
      <c r="AN65" s="277"/>
      <c r="AO65" s="9"/>
      <c r="AQ65" s="263"/>
      <c r="AR65" s="266"/>
      <c r="AS65" s="266"/>
      <c r="AT65" s="266"/>
      <c r="AU65" s="266"/>
      <c r="AV65" s="266"/>
      <c r="AW65" s="269"/>
      <c r="AX65" s="269"/>
      <c r="AY65" s="269"/>
      <c r="AZ65" s="269"/>
      <c r="BA65" s="269"/>
      <c r="BB65" s="277"/>
      <c r="BC65" s="15"/>
      <c r="BE65" s="254" t="str">
        <f>IF(AND(BB64&gt;BB66,BB64&gt;4),AQ60,IF(AND(BB66&gt;BB64,BB66&gt;4),AQ70,IF(AND(BB64=5,BB66=5),MIN(AQ60,AQ70)," ")))</f>
        <v xml:space="preserve"> </v>
      </c>
      <c r="BF65" s="279" t="str">
        <f ca="1">IF(BE65=" "," ",IFERROR(VLOOKUP(LARGE(INDIRECT(VLOOKUP($A$5,'Start List'!$J$9:$Q$14,5,FALSE)),BE65),'Start List'!$B$15:$V$139,3,FALSE),"bye to the next round"))</f>
        <v xml:space="preserve"> </v>
      </c>
      <c r="BG65" s="256"/>
      <c r="BH65" s="256"/>
      <c r="BI65" s="256"/>
      <c r="BJ65" s="257"/>
      <c r="BK65" s="261" t="str">
        <f ca="1">IFERROR(VLOOKUP(LARGE(INDIRECT(VLOOKUP($A$5,'Start List'!$J$9:$Q$14,5,FALSE)),BE65),'Start List'!$B$15:$V$139,7,FALSE)," ")</f>
        <v xml:space="preserve"> </v>
      </c>
      <c r="BM65" s="7">
        <v>16</v>
      </c>
      <c r="BN65" s="7" t="str">
        <f>L11&amp;":"&amp;L9</f>
        <v>0:0</v>
      </c>
      <c r="BO65" s="7" t="str">
        <f>BO50</f>
        <v>0:0</v>
      </c>
      <c r="BP65" s="7" t="str">
        <f t="shared" si="0"/>
        <v>0:0</v>
      </c>
    </row>
    <row r="66" spans="1:72" ht="6.75" customHeight="1" thickBo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63">
        <f>VLOOKUP(VLOOKUP($A$5,'Start List'!$J$9:$Q$14,8,FALSE)&amp;A83,Data!$D$2:$H$97,4,FALSE)</f>
        <v>30</v>
      </c>
      <c r="AD66" s="266"/>
      <c r="AE66" s="266"/>
      <c r="AF66" s="266"/>
      <c r="AG66" s="266"/>
      <c r="AH66" s="266"/>
      <c r="AI66" s="269">
        <f>IF(AD64&lt;AD66,2,IF(AND(AD66=AD64,AD66&gt;0),1,0))</f>
        <v>0</v>
      </c>
      <c r="AJ66" s="269">
        <f>IF(AE64&lt;AE66,2,IF(AND(AE66=AE64,AE66&gt;0),1,0))</f>
        <v>0</v>
      </c>
      <c r="AK66" s="269">
        <f>IF(AF64&lt;AF66,2,IF(AND(AF66=AF64,AF66&gt;0),1,0))</f>
        <v>0</v>
      </c>
      <c r="AL66" s="269">
        <f>IF(AG64&lt;AG66,2,IF(AND(AG66=AG64,AG66&gt;0),1,0))</f>
        <v>0</v>
      </c>
      <c r="AM66" s="269">
        <f>IF(AH64&lt;AH66,2,IF(AND(AH66=AH64,AH66&gt;0),1,0))</f>
        <v>0</v>
      </c>
      <c r="AN66" s="277">
        <f>SUM(AI66:AM67)</f>
        <v>0</v>
      </c>
      <c r="AO66" s="9"/>
      <c r="AP66" s="24"/>
      <c r="AQ66" s="263">
        <f>VLOOKUP(VLOOKUP($A$5,'Start List'!$J$9:$Q$14,8,FALSE)&amp;A47,Data!$D$2:$H$97,5,FALSE)</f>
        <v>14</v>
      </c>
      <c r="AR66" s="266"/>
      <c r="AS66" s="266"/>
      <c r="AT66" s="266"/>
      <c r="AU66" s="266"/>
      <c r="AV66" s="266"/>
      <c r="AW66" s="269">
        <f>IF(AR64&lt;AR66,2,IF(AND(AR66=AR64,AR66&gt;0),1,0))</f>
        <v>0</v>
      </c>
      <c r="AX66" s="269">
        <f>IF(AS64&lt;AS66,2,IF(AND(AS66=AS64,AS66&gt;0),1,0))</f>
        <v>0</v>
      </c>
      <c r="AY66" s="269">
        <f>IF(AT64&lt;AT66,2,IF(AND(AT66=AT64,AT66&gt;0),1,0))</f>
        <v>0</v>
      </c>
      <c r="AZ66" s="269">
        <f>IF(AU64&lt;AU66,2,IF(AND(AU66=AU64,AU66&gt;0),1,0))</f>
        <v>0</v>
      </c>
      <c r="BA66" s="269">
        <f>IF(AV64&lt;AV66,2,IF(AND(AV66=AV64,AV66&gt;0),1,0))</f>
        <v>0</v>
      </c>
      <c r="BB66" s="277">
        <f>SUM(AW66:BA67)</f>
        <v>0</v>
      </c>
      <c r="BC66" s="15"/>
      <c r="BD66" s="10"/>
      <c r="BE66" s="254"/>
      <c r="BF66" s="258"/>
      <c r="BG66" s="259"/>
      <c r="BH66" s="259"/>
      <c r="BI66" s="259"/>
      <c r="BJ66" s="260"/>
      <c r="BK66" s="262"/>
    </row>
    <row r="67" spans="1:72" ht="6.75" customHeight="1" x14ac:dyDescent="0.2">
      <c r="A67" s="254">
        <v>3</v>
      </c>
      <c r="B67" s="255" t="str">
        <f ca="1">IF(A67=" "," ",IFERROR(VLOOKUP(LARGE(INDIRECT(VLOOKUP($A$5,'Start List'!$J$9:$Q$14,5,FALSE)),A67),'Start List'!$B$15:$V$139,3,FALSE),"bye to the next round"))</f>
        <v>Losert Václav</v>
      </c>
      <c r="C67" s="256"/>
      <c r="D67" s="256"/>
      <c r="E67" s="256"/>
      <c r="F67" s="256"/>
      <c r="G67" s="256"/>
      <c r="H67" s="256"/>
      <c r="I67" s="256"/>
      <c r="J67" s="256"/>
      <c r="K67" s="257"/>
      <c r="L67" s="261" t="str">
        <f ca="1">IFERROR(VLOOKUP(LARGE(INDIRECT(VLOOKUP($A$5,'Start List'!$J$9:$Q$14,5,FALSE)),'Senior Men'!A67),'Start List'!$B$15:$V$139,7,FALSE)," ")</f>
        <v xml:space="preserve"> </v>
      </c>
      <c r="M67" s="2"/>
      <c r="N67" s="5"/>
      <c r="O67" s="11"/>
      <c r="P67" s="1"/>
      <c r="Q67" s="1"/>
      <c r="R67" s="1"/>
      <c r="S67" s="1"/>
      <c r="T67" s="1"/>
      <c r="U67" s="1"/>
      <c r="V67" s="1"/>
      <c r="W67" s="1"/>
      <c r="X67" s="1"/>
      <c r="Y67" s="1"/>
      <c r="Z67" s="1"/>
      <c r="AA67" s="1"/>
      <c r="AB67" s="1"/>
      <c r="AC67" s="263"/>
      <c r="AD67" s="266"/>
      <c r="AE67" s="266"/>
      <c r="AF67" s="266"/>
      <c r="AG67" s="266"/>
      <c r="AH67" s="266"/>
      <c r="AI67" s="269"/>
      <c r="AJ67" s="269"/>
      <c r="AK67" s="269"/>
      <c r="AL67" s="269"/>
      <c r="AM67" s="269"/>
      <c r="AN67" s="277"/>
      <c r="AO67" s="9"/>
      <c r="AQ67" s="263"/>
      <c r="AR67" s="266"/>
      <c r="AS67" s="266"/>
      <c r="AT67" s="266"/>
      <c r="AU67" s="266"/>
      <c r="AV67" s="266"/>
      <c r="AW67" s="269"/>
      <c r="AX67" s="269"/>
      <c r="AY67" s="269"/>
      <c r="AZ67" s="269"/>
      <c r="BA67" s="269"/>
      <c r="BB67" s="277"/>
      <c r="BC67" s="15"/>
    </row>
    <row r="68" spans="1:72" ht="6.75" customHeight="1" thickBot="1" x14ac:dyDescent="0.25">
      <c r="A68" s="270"/>
      <c r="B68" s="258"/>
      <c r="C68" s="259"/>
      <c r="D68" s="259"/>
      <c r="E68" s="259"/>
      <c r="F68" s="259"/>
      <c r="G68" s="259"/>
      <c r="H68" s="259"/>
      <c r="I68" s="259"/>
      <c r="J68" s="259"/>
      <c r="K68" s="260"/>
      <c r="L68" s="262"/>
      <c r="M68" s="14"/>
      <c r="AO68" s="9"/>
      <c r="AQ68" s="23"/>
      <c r="BC68" s="9"/>
    </row>
    <row r="69" spans="1:72" ht="6.75" customHeight="1" thickBot="1" x14ac:dyDescent="0.25">
      <c r="A69" s="263" t="str">
        <f>VLOOKUP(VLOOKUP($A$5,'Start List'!$J$9:$Q$14,8,FALSE)&amp;A67,Data!$D$2:$H$97,2,FALSE)</f>
        <v/>
      </c>
      <c r="B69" s="274"/>
      <c r="C69" s="271"/>
      <c r="D69" s="271"/>
      <c r="E69" s="271"/>
      <c r="F69" s="271"/>
      <c r="G69" s="268">
        <f>IF(B69&gt;B71,2,IF(AND(B71=B69,B69&gt;0),1,0))</f>
        <v>0</v>
      </c>
      <c r="H69" s="268">
        <f>IF(C69&gt;C71,2,IF(AND(C71=C69,C69&gt;0),1,0))</f>
        <v>0</v>
      </c>
      <c r="I69" s="268">
        <f>IF(D69&gt;D71,2,IF(AND(D71=D69,D69&gt;0),1,0))</f>
        <v>0</v>
      </c>
      <c r="J69" s="268">
        <f>IF(E69&gt;E71,2,IF(AND(E71=E69,E69&gt;0),1,0))</f>
        <v>0</v>
      </c>
      <c r="K69" s="268">
        <f>IF(F69&gt;F71,2,IF(AND(F71=F69,F69&gt;0),1,0))</f>
        <v>0</v>
      </c>
      <c r="L69" s="272">
        <f>SUM(G69:K70)</f>
        <v>0</v>
      </c>
      <c r="M69" s="9"/>
      <c r="AO69" s="9"/>
      <c r="BC69" s="9"/>
      <c r="BE69" s="3"/>
    </row>
    <row r="70" spans="1:72" ht="6.75" customHeight="1" x14ac:dyDescent="0.2">
      <c r="A70" s="263"/>
      <c r="B70" s="264"/>
      <c r="C70" s="266"/>
      <c r="D70" s="266"/>
      <c r="E70" s="266"/>
      <c r="F70" s="266"/>
      <c r="G70" s="269"/>
      <c r="H70" s="269"/>
      <c r="I70" s="269"/>
      <c r="J70" s="269"/>
      <c r="K70" s="269"/>
      <c r="L70" s="273"/>
      <c r="M70" s="15"/>
      <c r="O70" s="254">
        <f ca="1">IF(B73="bye to the next round",A67,IF(AND(L69&gt;L71,L69&gt;4),A67,IF(AND(L71&gt;L69,L71&gt;4),A73,IF(AND(L69=5,L71=5),MIN(A67,A73)," "))))</f>
        <v>3</v>
      </c>
      <c r="P70" s="255" t="str">
        <f ca="1">IF(O70=" "," ",IFERROR(VLOOKUP(LARGE(INDIRECT(VLOOKUP($A$5,'Start List'!$J$9:$Q$14,5,FALSE)),O70),'Start List'!$B$15:$V$139,3,FALSE),"bye to the next round"))</f>
        <v>Losert Václav</v>
      </c>
      <c r="Q70" s="256"/>
      <c r="R70" s="256"/>
      <c r="S70" s="256"/>
      <c r="T70" s="256"/>
      <c r="U70" s="256"/>
      <c r="V70" s="256"/>
      <c r="W70" s="256"/>
      <c r="X70" s="256"/>
      <c r="Y70" s="257"/>
      <c r="Z70" s="261" t="str">
        <f ca="1">IFERROR(VLOOKUP(LARGE(INDIRECT(VLOOKUP($A$5,'Start List'!$J$9:$Q$14,5,FALSE)),'Senior Men'!O70),'Start List'!$B$15:$V$139,7,FALSE)," ")</f>
        <v xml:space="preserve"> </v>
      </c>
      <c r="AA70" s="16"/>
      <c r="AO70" s="9"/>
      <c r="AQ70" s="254" t="str">
        <f>IF(AND(AN64&gt;AN66,AN64&gt;4),AC75,IF(AND(AN66&gt;AN64,AN66&gt;4),AC55,IF(AND(AN64=5,AN66=5),MAX(AC55,AC75)," ")))</f>
        <v xml:space="preserve"> </v>
      </c>
      <c r="AR70" s="255" t="str">
        <f ca="1">IF(AQ70=" "," ",IFERROR(VLOOKUP(LARGE(INDIRECT(VLOOKUP($A$5,'Start List'!$J$9:$Q$14,5,FALSE)),AQ70),'Start List'!$B$15:$V$139,3,FALSE),"bye to the next round"))</f>
        <v xml:space="preserve"> </v>
      </c>
      <c r="AS70" s="256"/>
      <c r="AT70" s="256"/>
      <c r="AU70" s="256"/>
      <c r="AV70" s="256"/>
      <c r="AW70" s="256"/>
      <c r="AX70" s="256"/>
      <c r="AY70" s="256"/>
      <c r="AZ70" s="256"/>
      <c r="BA70" s="257"/>
      <c r="BB70" s="261" t="str">
        <f ca="1">IFERROR(VLOOKUP(LARGE(INDIRECT(VLOOKUP($A$5,'Start List'!$J$9:$Q$14,5,FALSE)),'Senior Men'!AQ70),'Start List'!$B$15:$V$139,7,FALSE)," ")</f>
        <v xml:space="preserve"> </v>
      </c>
      <c r="BC70" s="8"/>
    </row>
    <row r="71" spans="1:72" ht="6.75" customHeight="1" thickBot="1" x14ac:dyDescent="0.25">
      <c r="A71" s="263" t="str">
        <f>VLOOKUP(VLOOKUP($A$5,'Start List'!$J$9:$Q$14,8,FALSE)&amp;A73,Data!$D$2:$H$97,2,FALSE)</f>
        <v/>
      </c>
      <c r="B71" s="264"/>
      <c r="C71" s="266"/>
      <c r="D71" s="266"/>
      <c r="E71" s="266"/>
      <c r="F71" s="266"/>
      <c r="G71" s="268">
        <f>IF(B69&lt;B71,2,IF(AND(B71=B69,B71&gt;0),1,0))</f>
        <v>0</v>
      </c>
      <c r="H71" s="268">
        <f>IF(C69&lt;C71,2,IF(AND(C71=C69,C71&gt;0),1,0))</f>
        <v>0</v>
      </c>
      <c r="I71" s="268">
        <f>IF(D69&lt;D71,2,IF(AND(D71=D69,D71&gt;0),1,0))</f>
        <v>0</v>
      </c>
      <c r="J71" s="268">
        <f>IF(E69&lt;E71,2,IF(AND(E71=E69,E71&gt;0),1,0))</f>
        <v>0</v>
      </c>
      <c r="K71" s="268">
        <f>IF(F69&lt;F71,2,IF(AND(F71=F69,F71&gt;0),1,0))</f>
        <v>0</v>
      </c>
      <c r="L71" s="272">
        <f>SUM(G71:K72)</f>
        <v>0</v>
      </c>
      <c r="M71" s="15"/>
      <c r="N71" s="10"/>
      <c r="O71" s="254"/>
      <c r="P71" s="258"/>
      <c r="Q71" s="259"/>
      <c r="R71" s="259"/>
      <c r="S71" s="259"/>
      <c r="T71" s="259"/>
      <c r="U71" s="259"/>
      <c r="V71" s="259"/>
      <c r="W71" s="259"/>
      <c r="X71" s="259"/>
      <c r="Y71" s="260"/>
      <c r="Z71" s="262"/>
      <c r="AA71" s="12"/>
      <c r="AO71" s="9"/>
      <c r="AQ71" s="254"/>
      <c r="AR71" s="258"/>
      <c r="AS71" s="259"/>
      <c r="AT71" s="259"/>
      <c r="AU71" s="259"/>
      <c r="AV71" s="259"/>
      <c r="AW71" s="259"/>
      <c r="AX71" s="259"/>
      <c r="AY71" s="259"/>
      <c r="AZ71" s="259"/>
      <c r="BA71" s="260"/>
      <c r="BB71" s="262"/>
      <c r="BC71" s="13"/>
    </row>
    <row r="72" spans="1:72" ht="6.75" customHeight="1" thickBot="1" x14ac:dyDescent="0.25">
      <c r="A72" s="263"/>
      <c r="B72" s="265"/>
      <c r="C72" s="267"/>
      <c r="D72" s="267"/>
      <c r="E72" s="267"/>
      <c r="F72" s="267"/>
      <c r="G72" s="269"/>
      <c r="H72" s="269"/>
      <c r="I72" s="269"/>
      <c r="J72" s="269"/>
      <c r="K72" s="269"/>
      <c r="L72" s="273"/>
      <c r="M72" s="15"/>
      <c r="O72" s="7"/>
      <c r="AA72" s="9"/>
      <c r="AO72" s="9"/>
    </row>
    <row r="73" spans="1:72" ht="6.75" customHeight="1" x14ac:dyDescent="0.2">
      <c r="A73" s="254">
        <v>14</v>
      </c>
      <c r="B73" s="255" t="str">
        <f ca="1">IF(A73=" "," ",IFERROR(VLOOKUP(LARGE(INDIRECT(VLOOKUP($A$5,'Start List'!$J$9:$Q$14,5,FALSE)),A73),'Start List'!$B$15:$V$139,3,FALSE),"bye to the next round"))</f>
        <v>bye to the next round</v>
      </c>
      <c r="C73" s="256"/>
      <c r="D73" s="256"/>
      <c r="E73" s="256"/>
      <c r="F73" s="256"/>
      <c r="G73" s="256"/>
      <c r="H73" s="256"/>
      <c r="I73" s="256"/>
      <c r="J73" s="256"/>
      <c r="K73" s="257"/>
      <c r="L73" s="261" t="str">
        <f ca="1">IFERROR(VLOOKUP(LARGE(INDIRECT(VLOOKUP($A$5,'Start List'!$J$9:$Q$14,5,FALSE)),'Senior Men'!A73),'Start List'!$B$15:$V$139,7,FALSE)," ")</f>
        <v xml:space="preserve"> </v>
      </c>
      <c r="M73" s="8"/>
      <c r="O73" s="7"/>
      <c r="AA73" s="9"/>
      <c r="AO73" s="9"/>
      <c r="BM73" s="200">
        <v>1</v>
      </c>
      <c r="BN73" s="200" t="str">
        <f ca="1">IF($BF$42&lt;&gt;" ",VLOOKUP(LARGE(INDIRECT(VLOOKUP($A$5,'Start List'!$J$9:$Q$14,5,FALSE)),BO73),'Start List'!$B$15:$V$139,3,FALSE),"")</f>
        <v/>
      </c>
      <c r="BO73" s="201" t="str">
        <f>BE25</f>
        <v xml:space="preserve"> </v>
      </c>
      <c r="BP73" s="202" t="e">
        <f t="shared" ref="BP73:BP88" si="1">VLOOKUP(BO73,$BM$50:$BP$65,2,FALSE)</f>
        <v>#N/A</v>
      </c>
      <c r="BQ73" s="202" t="e">
        <f t="shared" ref="BQ73:BQ80" si="2">VLOOKUP(BO73,$BM$50:$BP$65,3,FALSE)</f>
        <v>#N/A</v>
      </c>
      <c r="BR73" s="202" t="e">
        <f>VLOOKUP(BO73,$BM$50:$BP$65,4,FALSE)</f>
        <v>#N/A</v>
      </c>
      <c r="BS73" s="200" t="str">
        <f>LARGE($BB$24:$BB$27,1)&amp;":"&amp;SMALL($BB$24:$BB$27,1)</f>
        <v>0:0</v>
      </c>
      <c r="BT73" s="200"/>
    </row>
    <row r="74" spans="1:72" ht="6.75" customHeight="1" thickBot="1" x14ac:dyDescent="0.25">
      <c r="A74" s="254"/>
      <c r="B74" s="258"/>
      <c r="C74" s="259"/>
      <c r="D74" s="259"/>
      <c r="E74" s="259"/>
      <c r="F74" s="259"/>
      <c r="G74" s="259"/>
      <c r="H74" s="259"/>
      <c r="I74" s="259"/>
      <c r="J74" s="259"/>
      <c r="K74" s="260"/>
      <c r="L74" s="262"/>
      <c r="M74" s="13"/>
      <c r="O74" s="263" t="str">
        <f>VLOOKUP(VLOOKUP($A$5,'Start List'!$J$9:$Q$14,8,FALSE)&amp;A67,Data!$D$2:$H$97,3,FALSE)</f>
        <v/>
      </c>
      <c r="P74" s="266"/>
      <c r="Q74" s="266"/>
      <c r="R74" s="266"/>
      <c r="S74" s="266"/>
      <c r="T74" s="266"/>
      <c r="U74" s="269">
        <f>IF(P74&gt;P76,2,IF(AND(P76=P74,P74&gt;0),1,0))</f>
        <v>0</v>
      </c>
      <c r="V74" s="269">
        <f>IF(Q74&gt;Q76,2,IF(AND(Q76=Q74,Q74&gt;0),1,0))</f>
        <v>0</v>
      </c>
      <c r="W74" s="269">
        <f>IF(R74&gt;R76,2,IF(AND(R76=R74,R74&gt;0),1,0))</f>
        <v>0</v>
      </c>
      <c r="X74" s="269">
        <f>IF(S74&gt;S76,2,IF(AND(S76=S74,S74&gt;0),1,0))</f>
        <v>0</v>
      </c>
      <c r="Y74" s="269">
        <f>IF(T74&gt;T76,2,IF(AND(T76=T74,T74&gt;0),1,0))</f>
        <v>0</v>
      </c>
      <c r="Z74" s="277">
        <f>SUM(U74:Y75)</f>
        <v>0</v>
      </c>
      <c r="AA74" s="9"/>
      <c r="AO74" s="9"/>
      <c r="BM74" s="200">
        <v>2</v>
      </c>
      <c r="BN74" s="200" t="str">
        <f ca="1">IF($BF$42&lt;&gt;" ",VLOOKUP(LARGE(INDIRECT(VLOOKUP($A$5,'Start List'!$J$9:$Q$14,5,FALSE)),BO74),'Start List'!$B$15:$V$139,3,FALSE),"")</f>
        <v/>
      </c>
      <c r="BO74" s="201" t="str">
        <f>IF(AQ20=BE25,AQ30,AQ20)</f>
        <v xml:space="preserve"> </v>
      </c>
      <c r="BP74" s="202" t="e">
        <f t="shared" si="1"/>
        <v>#N/A</v>
      </c>
      <c r="BQ74" s="202" t="e">
        <f t="shared" si="2"/>
        <v>#N/A</v>
      </c>
      <c r="BR74" s="202" t="e">
        <f t="shared" ref="BR74:BR76" si="3">VLOOKUP(BO74,$BM$50:$BP$65,4,FALSE)</f>
        <v>#N/A</v>
      </c>
      <c r="BS74" s="200" t="str">
        <f>SMALL($BB$24:$BB$27,1)&amp;":"&amp;LARGE($BB$24:$BB$27,1)</f>
        <v>0:0</v>
      </c>
      <c r="BT74" s="200"/>
    </row>
    <row r="75" spans="1:72" ht="6.75" customHeight="1" x14ac:dyDescent="0.2">
      <c r="A75" s="30"/>
      <c r="O75" s="263"/>
      <c r="P75" s="266"/>
      <c r="Q75" s="266"/>
      <c r="R75" s="266"/>
      <c r="S75" s="266"/>
      <c r="T75" s="266"/>
      <c r="U75" s="269"/>
      <c r="V75" s="269"/>
      <c r="W75" s="269"/>
      <c r="X75" s="269"/>
      <c r="Y75" s="269"/>
      <c r="Z75" s="277"/>
      <c r="AA75" s="9"/>
      <c r="AC75" s="254" t="str">
        <f ca="1">IF(P80="bye to the next round",O70,IF(AND(Z74&gt;Z76,Z74&gt;4),O70,IF(AND(Z76&gt;Z74,Z76&gt;4),O80,IF(AND(Z74=5,Z76=5),MIN(O70,O80)," "))))</f>
        <v xml:space="preserve"> </v>
      </c>
      <c r="AD75" s="292" t="str">
        <f ca="1">IF(AC75=" "," ",IFERROR(VLOOKUP(LARGE(INDIRECT(VLOOKUP($A$5,'Start List'!$J$9:$Q$14,5,FALSE)),AC75),'Start List'!$B$15:$V$139,3,FALSE),"bye to the next round"))</f>
        <v xml:space="preserve"> </v>
      </c>
      <c r="AE75" s="293"/>
      <c r="AF75" s="293"/>
      <c r="AG75" s="293"/>
      <c r="AH75" s="293"/>
      <c r="AI75" s="293"/>
      <c r="AJ75" s="293"/>
      <c r="AK75" s="293"/>
      <c r="AL75" s="293"/>
      <c r="AM75" s="294"/>
      <c r="AN75" s="261" t="str">
        <f ca="1">IFERROR(VLOOKUP(LARGE(INDIRECT(VLOOKUP($A$5,'Start List'!$J$9:$Q$14,5,FALSE)),'Senior Men'!AC75),'Start List'!$B$15:$V$139,7,FALSE)," ")</f>
        <v xml:space="preserve"> </v>
      </c>
      <c r="AO75" s="8"/>
      <c r="BM75" s="200">
        <v>3</v>
      </c>
      <c r="BN75" s="200" t="str">
        <f ca="1">IF($BF$42&lt;&gt;" ",VLOOKUP(LARGE(INDIRECT(VLOOKUP($A$5,'Start List'!$J$9:$Q$14,5,FALSE)),BO75),'Start List'!$B$15:$V$139,3,FALSE),"")</f>
        <v/>
      </c>
      <c r="BO75" s="201" t="str">
        <f>BE65</f>
        <v xml:space="preserve"> </v>
      </c>
      <c r="BP75" s="202" t="e">
        <f t="shared" si="1"/>
        <v>#N/A</v>
      </c>
      <c r="BQ75" s="202" t="e">
        <f t="shared" si="2"/>
        <v>#N/A</v>
      </c>
      <c r="BR75" s="202" t="e">
        <f t="shared" si="3"/>
        <v>#N/A</v>
      </c>
      <c r="BS75" s="200" t="str">
        <f>LARGE($BB$64:$BB$67,1)&amp;":"&amp;SMALL($BB$64:$BB$67,1)</f>
        <v>0:0</v>
      </c>
      <c r="BT75" s="200"/>
    </row>
    <row r="76" spans="1:72" ht="6.75" customHeight="1" thickBot="1" x14ac:dyDescent="0.25">
      <c r="A76" s="29"/>
      <c r="B76" s="29"/>
      <c r="C76" s="29"/>
      <c r="D76" s="29"/>
      <c r="E76" s="29"/>
      <c r="F76" s="29"/>
      <c r="G76" s="29"/>
      <c r="H76" s="29"/>
      <c r="I76" s="29"/>
      <c r="J76" s="29"/>
      <c r="K76" s="29"/>
      <c r="L76" s="29"/>
      <c r="M76" s="29"/>
      <c r="N76" s="29"/>
      <c r="O76" s="263" t="str">
        <f>VLOOKUP(VLOOKUP($A$5,'Start List'!$J$9:$Q$14,8,FALSE)&amp;A83,Data!$D$2:$H$97,3,FALSE)</f>
        <v/>
      </c>
      <c r="P76" s="266"/>
      <c r="Q76" s="266"/>
      <c r="R76" s="266"/>
      <c r="S76" s="266"/>
      <c r="T76" s="266"/>
      <c r="U76" s="269">
        <f>IF(P74&lt;P76,2,IF(AND(P76=P74,P76&gt;0),1,0))</f>
        <v>0</v>
      </c>
      <c r="V76" s="269">
        <f>IF(Q74&lt;Q76,2,IF(AND(Q76=Q74,Q76&gt;0),1,0))</f>
        <v>0</v>
      </c>
      <c r="W76" s="269">
        <f>IF(R74&lt;R76,2,IF(AND(R76=R74,R76&gt;0),1,0))</f>
        <v>0</v>
      </c>
      <c r="X76" s="269">
        <f>IF(S74&lt;S76,2,IF(AND(S76=S74,S76&gt;0),1,0))</f>
        <v>0</v>
      </c>
      <c r="Y76" s="269">
        <f>IF(T74&lt;T76,2,IF(AND(T76=T74,T76&gt;0),1,0))</f>
        <v>0</v>
      </c>
      <c r="Z76" s="277">
        <f>SUM(U76:Y77)</f>
        <v>0</v>
      </c>
      <c r="AA76" s="17"/>
      <c r="AB76" s="19"/>
      <c r="AC76" s="254"/>
      <c r="AD76" s="295"/>
      <c r="AE76" s="296"/>
      <c r="AF76" s="296"/>
      <c r="AG76" s="296"/>
      <c r="AH76" s="296"/>
      <c r="AI76" s="296"/>
      <c r="AJ76" s="296"/>
      <c r="AK76" s="296"/>
      <c r="AL76" s="296"/>
      <c r="AM76" s="297"/>
      <c r="AN76" s="262"/>
      <c r="AO76" s="13"/>
      <c r="BM76" s="200">
        <v>4</v>
      </c>
      <c r="BN76" s="200" t="str">
        <f ca="1">IF($BF$42&lt;&gt;" ",VLOOKUP(LARGE(INDIRECT(VLOOKUP($A$5,'Start List'!$J$9:$Q$14,5,FALSE)),BO76),'Start List'!$B$15:$V$139,3,FALSE),"")</f>
        <v/>
      </c>
      <c r="BO76" s="201" t="str">
        <f>IF(AQ60=BE65,AQ70,AQ60)</f>
        <v xml:space="preserve"> </v>
      </c>
      <c r="BP76" s="202" t="e">
        <f t="shared" si="1"/>
        <v>#N/A</v>
      </c>
      <c r="BQ76" s="202" t="e">
        <f t="shared" si="2"/>
        <v>#N/A</v>
      </c>
      <c r="BR76" s="202" t="e">
        <f t="shared" si="3"/>
        <v>#N/A</v>
      </c>
      <c r="BS76" s="200" t="str">
        <f>SMALL($BB$64:$BB$67,1)&amp;":"&amp;LARGE($BB$64:$BB$67,1)</f>
        <v>0:0</v>
      </c>
      <c r="BT76" s="200"/>
    </row>
    <row r="77" spans="1:72" ht="6.75" customHeight="1" x14ac:dyDescent="0.2">
      <c r="A77" s="254">
        <v>6</v>
      </c>
      <c r="B77" s="255" t="str">
        <f ca="1">IF(A77=" "," ",IFERROR(VLOOKUP(LARGE(INDIRECT(VLOOKUP($A$5,'Start List'!$J$9:$Q$14,5,FALSE)),A77),'Start List'!$B$15:$V$139,3,FALSE),"bye to the next round"))</f>
        <v>Sedláček František</v>
      </c>
      <c r="C77" s="256"/>
      <c r="D77" s="256"/>
      <c r="E77" s="256"/>
      <c r="F77" s="256"/>
      <c r="G77" s="256"/>
      <c r="H77" s="256"/>
      <c r="I77" s="256"/>
      <c r="J77" s="256"/>
      <c r="K77" s="257"/>
      <c r="L77" s="261" t="str">
        <f ca="1">IFERROR(VLOOKUP(LARGE(INDIRECT(VLOOKUP($A$5,'Start List'!$J$9:$Q$14,5,FALSE)),'Senior Men'!A77),'Start List'!$B$15:$V$139,7,FALSE)," ")</f>
        <v xml:space="preserve"> </v>
      </c>
      <c r="M77" s="2"/>
      <c r="N77" s="5"/>
      <c r="O77" s="263"/>
      <c r="P77" s="266"/>
      <c r="Q77" s="266"/>
      <c r="R77" s="266"/>
      <c r="S77" s="266"/>
      <c r="T77" s="266"/>
      <c r="U77" s="269"/>
      <c r="V77" s="269"/>
      <c r="W77" s="269"/>
      <c r="X77" s="269"/>
      <c r="Y77" s="269"/>
      <c r="Z77" s="277"/>
      <c r="AA77" s="18"/>
      <c r="AB77" s="1"/>
      <c r="AN77" s="27"/>
      <c r="AO77" s="298"/>
      <c r="AP77" s="298"/>
      <c r="BM77" s="204">
        <v>5</v>
      </c>
      <c r="BN77" s="200" t="str">
        <f ca="1">IF($BF$42&lt;&gt;" ",VLOOKUP(LARGE(INDIRECT(VLOOKUP($A$5,'Start List'!$J$9:$Q$14,5,FALSE)),BO77),'Start List'!$B$15:$V$139,3,FALSE),"")</f>
        <v/>
      </c>
      <c r="BO77" s="202">
        <f ca="1">SMALL($BT$77:$BT$80,1)</f>
        <v>3</v>
      </c>
      <c r="BP77" s="202" t="str">
        <f t="shared" ca="1" si="1"/>
        <v>0:0</v>
      </c>
      <c r="BQ77" s="202" t="str">
        <f t="shared" ca="1" si="2"/>
        <v>0:0</v>
      </c>
      <c r="BR77" s="200" t="str">
        <f>""</f>
        <v/>
      </c>
      <c r="BS77" s="200" t="str">
        <f>""</f>
        <v/>
      </c>
      <c r="BT77" s="202">
        <f ca="1">IF(O10=AC15,O20,O10)</f>
        <v>8</v>
      </c>
    </row>
    <row r="78" spans="1:72" ht="6.75" customHeight="1" thickBot="1" x14ac:dyDescent="0.25">
      <c r="A78" s="270"/>
      <c r="B78" s="258"/>
      <c r="C78" s="259"/>
      <c r="D78" s="259"/>
      <c r="E78" s="259"/>
      <c r="F78" s="259"/>
      <c r="G78" s="259"/>
      <c r="H78" s="259"/>
      <c r="I78" s="259"/>
      <c r="J78" s="259"/>
      <c r="K78" s="260"/>
      <c r="L78" s="262"/>
      <c r="M78" s="14"/>
      <c r="AA78" s="9"/>
      <c r="AN78" s="23"/>
      <c r="AO78" s="298"/>
      <c r="AP78" s="298"/>
      <c r="BM78" s="200">
        <v>6</v>
      </c>
      <c r="BN78" s="200" t="str">
        <f ca="1">IF($BF$42&lt;&gt;" ",VLOOKUP(LARGE(INDIRECT(VLOOKUP($A$5,'Start List'!$J$9:$Q$14,5,FALSE)),BO78),'Start List'!$B$15:$V$139,3,FALSE),"")</f>
        <v/>
      </c>
      <c r="BO78" s="202">
        <f ca="1">SMALL($BT$77:$BT$80,2)</f>
        <v>4</v>
      </c>
      <c r="BP78" s="202" t="str">
        <f t="shared" ca="1" si="1"/>
        <v>0:0</v>
      </c>
      <c r="BQ78" s="202" t="str">
        <f t="shared" ca="1" si="2"/>
        <v>0:0</v>
      </c>
      <c r="BR78" s="200" t="str">
        <f>""</f>
        <v/>
      </c>
      <c r="BS78" s="200" t="str">
        <f>""</f>
        <v/>
      </c>
      <c r="BT78" s="200">
        <f ca="1">IF(O30=AC35,O40,O30)</f>
        <v>4</v>
      </c>
    </row>
    <row r="79" spans="1:72" ht="6.75" customHeight="1" thickBot="1" x14ac:dyDescent="0.25">
      <c r="A79" s="263" t="str">
        <f>VLOOKUP(VLOOKUP($A$5,'Start List'!$J$9:$Q$14,8,FALSE)&amp;A77,Data!$D$2:$H$97,2,FALSE)</f>
        <v/>
      </c>
      <c r="B79" s="274"/>
      <c r="C79" s="271"/>
      <c r="D79" s="271"/>
      <c r="E79" s="271"/>
      <c r="F79" s="271"/>
      <c r="G79" s="268">
        <f>IF(B79&gt;B81,2,IF(AND(B81=B79,B79&gt;0),1,0))</f>
        <v>0</v>
      </c>
      <c r="H79" s="268">
        <f>IF(C79&gt;C81,2,IF(AND(C81=C79,C79&gt;0),1,0))</f>
        <v>0</v>
      </c>
      <c r="I79" s="268">
        <f>IF(D79&gt;D81,2,IF(AND(D81=D79,D79&gt;0),1,0))</f>
        <v>0</v>
      </c>
      <c r="J79" s="268">
        <f>IF(E79&gt;E81,2,IF(AND(E81=E79,E79&gt;0),1,0))</f>
        <v>0</v>
      </c>
      <c r="K79" s="268">
        <f>IF(F79&gt;F81,2,IF(AND(F81=F79,F79&gt;0),1,0))</f>
        <v>0</v>
      </c>
      <c r="L79" s="272">
        <f>SUM(G79:K80)</f>
        <v>0</v>
      </c>
      <c r="M79" s="9"/>
      <c r="AA79" s="9"/>
      <c r="AN79" s="23"/>
      <c r="AO79" s="298"/>
      <c r="AP79" s="298"/>
      <c r="BM79" s="200">
        <v>7</v>
      </c>
      <c r="BN79" s="200" t="str">
        <f ca="1">IF($BF$42&lt;&gt;" ",VLOOKUP(LARGE(INDIRECT(VLOOKUP($A$5,'Start List'!$J$9:$Q$14,5,FALSE)),BO79),'Start List'!$B$15:$V$139,3,FALSE),"")</f>
        <v/>
      </c>
      <c r="BO79" s="202">
        <f ca="1">SMALL($BT$77:$BT$80,3)</f>
        <v>7</v>
      </c>
      <c r="BP79" s="202" t="str">
        <f t="shared" ca="1" si="1"/>
        <v>0:0</v>
      </c>
      <c r="BQ79" s="202" t="str">
        <f t="shared" ca="1" si="2"/>
        <v>0:0</v>
      </c>
      <c r="BR79" s="200" t="str">
        <f>""</f>
        <v/>
      </c>
      <c r="BS79" s="200" t="str">
        <f>""</f>
        <v/>
      </c>
      <c r="BT79" s="200">
        <f ca="1">IF(O50=AC55,O60,O50)</f>
        <v>7</v>
      </c>
    </row>
    <row r="80" spans="1:72" ht="6.75" customHeight="1" x14ac:dyDescent="0.2">
      <c r="A80" s="263"/>
      <c r="B80" s="264"/>
      <c r="C80" s="266"/>
      <c r="D80" s="266"/>
      <c r="E80" s="266"/>
      <c r="F80" s="266"/>
      <c r="G80" s="269"/>
      <c r="H80" s="269"/>
      <c r="I80" s="269"/>
      <c r="J80" s="269"/>
      <c r="K80" s="269"/>
      <c r="L80" s="273"/>
      <c r="M80" s="15"/>
      <c r="O80" s="254">
        <f ca="1">IF(B83="bye to the next round",A77,IF(AND(L79&gt;L81,L79&gt;4),A77,IF(AND(L81&gt;L79,L81&gt;4),A83,IF(AND(L79=5,L81=5),MIN(A77,A83)," "))))</f>
        <v>6</v>
      </c>
      <c r="P80" s="255" t="str">
        <f ca="1">IF(O80=" "," ",IFERROR(VLOOKUP(LARGE(INDIRECT(VLOOKUP($A$5,'Start List'!$J$9:$Q$14,5,FALSE)),O80),'Start List'!$B$15:$V$139,3,FALSE),"bye to the next round"))</f>
        <v>Sedláček František</v>
      </c>
      <c r="Q80" s="256"/>
      <c r="R80" s="256"/>
      <c r="S80" s="256"/>
      <c r="T80" s="256"/>
      <c r="U80" s="256"/>
      <c r="V80" s="256"/>
      <c r="W80" s="256"/>
      <c r="X80" s="256"/>
      <c r="Y80" s="257"/>
      <c r="Z80" s="261" t="str">
        <f ca="1">IFERROR(VLOOKUP(LARGE(INDIRECT(VLOOKUP($A$5,'Start List'!$J$9:$Q$14,5,FALSE)),'Senior Men'!O80),'Start List'!$B$15:$V$139,7,FALSE)," ")</f>
        <v xml:space="preserve"> </v>
      </c>
      <c r="AA80" s="8"/>
      <c r="AN80" s="23"/>
      <c r="AO80" s="298"/>
      <c r="AP80" s="298"/>
      <c r="BM80" s="200">
        <v>8</v>
      </c>
      <c r="BN80" s="200" t="str">
        <f ca="1">IF($BF$42&lt;&gt;" ",VLOOKUP(LARGE(INDIRECT(VLOOKUP($A$5,'Start List'!$J$9:$Q$14,5,FALSE)),BO80),'Start List'!$B$15:$V$139,3,FALSE),"")</f>
        <v/>
      </c>
      <c r="BO80" s="202">
        <f ca="1">SMALL($BT$77:$BT$80,4)</f>
        <v>8</v>
      </c>
      <c r="BP80" s="202" t="str">
        <f t="shared" ca="1" si="1"/>
        <v>0:0</v>
      </c>
      <c r="BQ80" s="202" t="str">
        <f t="shared" ca="1" si="2"/>
        <v>0:0</v>
      </c>
      <c r="BR80" s="200" t="str">
        <f>""</f>
        <v/>
      </c>
      <c r="BS80" s="200" t="str">
        <f>""</f>
        <v/>
      </c>
      <c r="BT80" s="200">
        <f ca="1">IF(O70=AC75,O80,O70)</f>
        <v>3</v>
      </c>
    </row>
    <row r="81" spans="1:72" ht="6.75" customHeight="1" thickBot="1" x14ac:dyDescent="0.25">
      <c r="A81" s="263" t="str">
        <f>VLOOKUP(VLOOKUP($A$5,'Start List'!$J$9:$Q$14,8,FALSE)&amp;A83,Data!$D$2:$H$97,2,FALSE)</f>
        <v/>
      </c>
      <c r="B81" s="264"/>
      <c r="C81" s="266"/>
      <c r="D81" s="266"/>
      <c r="E81" s="266"/>
      <c r="F81" s="266"/>
      <c r="G81" s="268">
        <f>IF(B79&lt;B81,2,IF(AND(B81=B79,B81&gt;0),1,0))</f>
        <v>0</v>
      </c>
      <c r="H81" s="268">
        <f>IF(C79&lt;C81,2,IF(AND(C81=C79,C81&gt;0),1,0))</f>
        <v>0</v>
      </c>
      <c r="I81" s="268">
        <f>IF(D79&lt;D81,2,IF(AND(D81=D79,D81&gt;0),1,0))</f>
        <v>0</v>
      </c>
      <c r="J81" s="268">
        <f>IF(E79&lt;E81,2,IF(AND(E81=E79,E81&gt;0),1,0))</f>
        <v>0</v>
      </c>
      <c r="K81" s="268">
        <f>IF(F79&lt;F81,2,IF(AND(F81=F79,F81&gt;0),1,0))</f>
        <v>0</v>
      </c>
      <c r="L81" s="272">
        <f>SUM(G81:K82)</f>
        <v>0</v>
      </c>
      <c r="M81" s="15"/>
      <c r="N81" s="10"/>
      <c r="O81" s="254"/>
      <c r="P81" s="258"/>
      <c r="Q81" s="259"/>
      <c r="R81" s="259"/>
      <c r="S81" s="259"/>
      <c r="T81" s="259"/>
      <c r="U81" s="259"/>
      <c r="V81" s="259"/>
      <c r="W81" s="259"/>
      <c r="X81" s="259"/>
      <c r="Y81" s="260"/>
      <c r="Z81" s="262"/>
      <c r="AA81" s="13"/>
      <c r="AN81" s="23"/>
      <c r="AO81" s="298"/>
      <c r="AP81" s="298"/>
      <c r="BM81" s="200">
        <v>9</v>
      </c>
      <c r="BN81" s="200" t="str">
        <f ca="1">IF($BF$42&lt;&gt;" ",VLOOKUP(LARGE(INDIRECT(VLOOKUP($A$5,'Start List'!$J$9:$Q$14,5,FALSE)),BO81),'Start List'!$B$15:$V$139,3,FALSE),"")</f>
        <v/>
      </c>
      <c r="BO81" s="200">
        <f t="shared" ref="BO81:BO88" ca="1" si="4">SMALL($BT$81:$BT$88,BM50)</f>
        <v>9</v>
      </c>
      <c r="BP81" s="202" t="str">
        <f t="shared" ca="1" si="1"/>
        <v>0:0</v>
      </c>
      <c r="BQ81" s="200" t="str">
        <f>""</f>
        <v/>
      </c>
      <c r="BR81" s="200" t="str">
        <f>""</f>
        <v/>
      </c>
      <c r="BS81" s="200" t="str">
        <f>""</f>
        <v/>
      </c>
      <c r="BT81" s="200">
        <f ca="1">IF(A7=O10,A13,A7)</f>
        <v>16</v>
      </c>
    </row>
    <row r="82" spans="1:72" ht="6.75" customHeight="1" thickBot="1" x14ac:dyDescent="0.25">
      <c r="A82" s="263"/>
      <c r="B82" s="265"/>
      <c r="C82" s="267"/>
      <c r="D82" s="267"/>
      <c r="E82" s="267"/>
      <c r="F82" s="267"/>
      <c r="G82" s="269"/>
      <c r="H82" s="269"/>
      <c r="I82" s="269"/>
      <c r="J82" s="269"/>
      <c r="K82" s="269"/>
      <c r="L82" s="273"/>
      <c r="M82" s="15"/>
      <c r="O82" s="7"/>
      <c r="AN82" s="23"/>
      <c r="AO82" s="298"/>
      <c r="AP82" s="298"/>
      <c r="BM82" s="200">
        <v>10</v>
      </c>
      <c r="BN82" s="200" t="str">
        <f ca="1">IF($BF$42&lt;&gt;" ",VLOOKUP(LARGE(INDIRECT(VLOOKUP($A$5,'Start List'!$J$9:$Q$14,5,FALSE)),BO82),'Start List'!$B$15:$V$139,3,FALSE),"")</f>
        <v/>
      </c>
      <c r="BO82" s="200">
        <f t="shared" ca="1" si="4"/>
        <v>10</v>
      </c>
      <c r="BP82" s="202" t="str">
        <f t="shared" ca="1" si="1"/>
        <v>0:0</v>
      </c>
      <c r="BQ82" s="200" t="str">
        <f>""</f>
        <v/>
      </c>
      <c r="BR82" s="200" t="str">
        <f>""</f>
        <v/>
      </c>
      <c r="BS82" s="200" t="str">
        <f>""</f>
        <v/>
      </c>
      <c r="BT82" s="200">
        <f ca="1">IF(A17=O20,A23,A17)</f>
        <v>9</v>
      </c>
    </row>
    <row r="83" spans="1:72" ht="6.75" customHeight="1" x14ac:dyDescent="0.2">
      <c r="A83" s="254">
        <v>11</v>
      </c>
      <c r="B83" s="255" t="str">
        <f ca="1">IF(A83=" "," ",IFERROR(VLOOKUP(LARGE(INDIRECT(VLOOKUP($A$5,'Start List'!$J$9:$Q$14,5,FALSE)),A83),'Start List'!$B$15:$V$139,3,FALSE),"bye to the next round"))</f>
        <v>bye to the next round</v>
      </c>
      <c r="C83" s="256"/>
      <c r="D83" s="256"/>
      <c r="E83" s="256"/>
      <c r="F83" s="256"/>
      <c r="G83" s="256"/>
      <c r="H83" s="256"/>
      <c r="I83" s="256"/>
      <c r="J83" s="256"/>
      <c r="K83" s="257"/>
      <c r="L83" s="261" t="str">
        <f ca="1">IFERROR(VLOOKUP(LARGE(INDIRECT(VLOOKUP($A$5,'Start List'!$J$9:$Q$14,5,FALSE)),'Senior Men'!A83),'Start List'!$B$15:$V$139,7,FALSE)," ")</f>
        <v xml:space="preserve"> </v>
      </c>
      <c r="M83" s="8"/>
      <c r="O83" s="7"/>
      <c r="AN83" s="23"/>
      <c r="AO83" s="298"/>
      <c r="AP83" s="298"/>
      <c r="BM83" s="200">
        <v>11</v>
      </c>
      <c r="BN83" s="200" t="str">
        <f ca="1">IF($BF$42&lt;&gt;" ",VLOOKUP(LARGE(INDIRECT(VLOOKUP($A$5,'Start List'!$J$9:$Q$14,5,FALSE)),BO83),'Start List'!$B$15:$V$139,3,FALSE),"")</f>
        <v/>
      </c>
      <c r="BO83" s="200">
        <f t="shared" ca="1" si="4"/>
        <v>11</v>
      </c>
      <c r="BP83" s="202" t="str">
        <f t="shared" ca="1" si="1"/>
        <v>0:0</v>
      </c>
      <c r="BQ83" s="200" t="str">
        <f>""</f>
        <v/>
      </c>
      <c r="BR83" s="200" t="str">
        <f>""</f>
        <v/>
      </c>
      <c r="BS83" s="200" t="str">
        <f>""</f>
        <v/>
      </c>
      <c r="BT83" s="200">
        <f ca="1">IF(A27=O30,A33,A27)</f>
        <v>13</v>
      </c>
    </row>
    <row r="84" spans="1:72" ht="6.75" customHeight="1" thickBot="1" x14ac:dyDescent="0.25">
      <c r="A84" s="254"/>
      <c r="B84" s="258"/>
      <c r="C84" s="259"/>
      <c r="D84" s="259"/>
      <c r="E84" s="259"/>
      <c r="F84" s="259"/>
      <c r="G84" s="259"/>
      <c r="H84" s="259"/>
      <c r="I84" s="259"/>
      <c r="J84" s="259"/>
      <c r="K84" s="260"/>
      <c r="L84" s="262"/>
      <c r="M84" s="13"/>
      <c r="AN84" s="23"/>
      <c r="AO84" s="298"/>
      <c r="AP84" s="298"/>
      <c r="BM84" s="200">
        <v>12</v>
      </c>
      <c r="BN84" s="200" t="str">
        <f ca="1">IF($BF$42&lt;&gt;" ",VLOOKUP(LARGE(INDIRECT(VLOOKUP($A$5,'Start List'!$J$9:$Q$14,5,FALSE)),BO84),'Start List'!$B$15:$V$139,3,FALSE),"")</f>
        <v/>
      </c>
      <c r="BO84" s="200">
        <f t="shared" ca="1" si="4"/>
        <v>12</v>
      </c>
      <c r="BP84" s="202" t="str">
        <f t="shared" ca="1" si="1"/>
        <v>0:0</v>
      </c>
      <c r="BQ84" s="200" t="str">
        <f>""</f>
        <v/>
      </c>
      <c r="BR84" s="200" t="str">
        <f>""</f>
        <v/>
      </c>
      <c r="BS84" s="200" t="str">
        <f>""</f>
        <v/>
      </c>
      <c r="BT84" s="200">
        <f ca="1">IF(A37=O40,A43,A37)</f>
        <v>12</v>
      </c>
    </row>
    <row r="85" spans="1:72" ht="6.75" customHeight="1" x14ac:dyDescent="0.2">
      <c r="A85" s="30"/>
      <c r="AN85" s="23"/>
      <c r="AO85" s="34"/>
      <c r="AP85" s="34"/>
      <c r="BM85" s="200">
        <v>13</v>
      </c>
      <c r="BN85" s="200" t="str">
        <f ca="1">IF($BF$42&lt;&gt;" ",VLOOKUP(LARGE(INDIRECT(VLOOKUP($A$5,'Start List'!$J$9:$Q$14,5,FALSE)),BO85),'Start List'!$B$15:$V$139,3,FALSE),"")</f>
        <v/>
      </c>
      <c r="BO85" s="200">
        <f t="shared" ca="1" si="4"/>
        <v>13</v>
      </c>
      <c r="BP85" s="202" t="str">
        <f t="shared" ca="1" si="1"/>
        <v>0:0</v>
      </c>
      <c r="BQ85" s="200" t="str">
        <f>""</f>
        <v/>
      </c>
      <c r="BR85" s="200" t="str">
        <f>""</f>
        <v/>
      </c>
      <c r="BS85" s="200" t="str">
        <f>""</f>
        <v/>
      </c>
      <c r="BT85" s="200">
        <f ca="1">IF(A47=O50,A53,A47)</f>
        <v>15</v>
      </c>
    </row>
    <row r="86" spans="1:72" ht="6.75" customHeight="1" x14ac:dyDescent="0.2">
      <c r="A86" s="31"/>
      <c r="B86" s="7"/>
      <c r="C86" s="7"/>
      <c r="D86" s="7"/>
      <c r="E86" s="7"/>
      <c r="F86" s="7"/>
      <c r="G86" s="7"/>
      <c r="H86" s="7"/>
      <c r="I86" s="7"/>
      <c r="J86" s="7"/>
      <c r="K86" s="7"/>
      <c r="L86" s="7"/>
      <c r="O86" s="7"/>
      <c r="AA86" s="23"/>
      <c r="AB86" s="34"/>
      <c r="AC86" s="34"/>
      <c r="BM86" s="11">
        <v>14</v>
      </c>
      <c r="BN86" s="200" t="str">
        <f ca="1">IF($BF$42&lt;&gt;" ",VLOOKUP(LARGE(INDIRECT(VLOOKUP($A$5,'Start List'!$J$9:$Q$14,5,FALSE)),BO86),'Start List'!$B$15:$V$139,3,FALSE),"")</f>
        <v/>
      </c>
      <c r="BO86" s="200">
        <f t="shared" ca="1" si="4"/>
        <v>14</v>
      </c>
      <c r="BP86" s="202" t="str">
        <f t="shared" ca="1" si="1"/>
        <v>0:0</v>
      </c>
      <c r="BQ86" s="200" t="str">
        <f>""</f>
        <v/>
      </c>
      <c r="BR86" s="200" t="str">
        <f>""</f>
        <v/>
      </c>
      <c r="BS86" s="200" t="str">
        <f>""</f>
        <v/>
      </c>
      <c r="BT86" s="203">
        <f ca="1">IF(A57=O60,A63,A57)</f>
        <v>10</v>
      </c>
    </row>
    <row r="87" spans="1:72" ht="6.75" customHeight="1" x14ac:dyDescent="0.2">
      <c r="A87" s="23"/>
      <c r="B87" s="3"/>
      <c r="C87" s="7"/>
      <c r="D87" s="7"/>
      <c r="E87" s="7"/>
      <c r="F87" s="7"/>
      <c r="G87" s="7"/>
      <c r="H87" s="7"/>
      <c r="I87" s="7"/>
      <c r="J87" s="7"/>
      <c r="K87" s="7"/>
      <c r="L87" s="7"/>
      <c r="O87" s="7"/>
      <c r="BM87" s="193">
        <v>15</v>
      </c>
      <c r="BN87" s="200" t="str">
        <f ca="1">IF($BF$42&lt;&gt;" ",VLOOKUP(LARGE(INDIRECT(VLOOKUP($A$5,'Start List'!$J$9:$Q$14,5,FALSE)),BO87),'Start List'!$B$15:$V$139,3,FALSE),"")</f>
        <v/>
      </c>
      <c r="BO87" s="200">
        <f t="shared" ca="1" si="4"/>
        <v>15</v>
      </c>
      <c r="BP87" s="202" t="str">
        <f t="shared" ca="1" si="1"/>
        <v>0:0</v>
      </c>
      <c r="BQ87" s="200" t="str">
        <f>""</f>
        <v/>
      </c>
      <c r="BR87" s="200" t="str">
        <f>""</f>
        <v/>
      </c>
      <c r="BS87" s="200" t="str">
        <f>""</f>
        <v/>
      </c>
      <c r="BT87" s="200">
        <f ca="1">IF(A67=O70,A73,A67)</f>
        <v>14</v>
      </c>
    </row>
    <row r="88" spans="1:72" ht="6.75" customHeight="1" x14ac:dyDescent="0.2">
      <c r="A88" s="23"/>
      <c r="B88" s="3"/>
      <c r="C88" s="7"/>
      <c r="D88" s="7"/>
      <c r="E88" s="7"/>
      <c r="F88" s="7"/>
      <c r="G88" s="7"/>
      <c r="H88" s="7"/>
      <c r="I88" s="7"/>
      <c r="J88" s="7"/>
      <c r="K88" s="7"/>
      <c r="L88" s="7"/>
      <c r="O88" s="7"/>
      <c r="BM88" s="193">
        <v>16</v>
      </c>
      <c r="BN88" s="200" t="str">
        <f ca="1">IF($BF$42&lt;&gt;" ",VLOOKUP(LARGE(INDIRECT(VLOOKUP($A$5,'Start List'!$J$9:$Q$14,5,FALSE)),BO88),'Start List'!$B$15:$V$139,3,FALSE),"")</f>
        <v/>
      </c>
      <c r="BO88" s="200">
        <f t="shared" ca="1" si="4"/>
        <v>16</v>
      </c>
      <c r="BP88" s="202" t="str">
        <f t="shared" ca="1" si="1"/>
        <v>0:0</v>
      </c>
      <c r="BQ88" s="200" t="str">
        <f>""</f>
        <v/>
      </c>
      <c r="BR88" s="200" t="str">
        <f>""</f>
        <v/>
      </c>
      <c r="BS88" s="200" t="str">
        <f>""</f>
        <v/>
      </c>
      <c r="BT88" s="200">
        <f ca="1">IF(A77=O80,A83,A77)</f>
        <v>11</v>
      </c>
    </row>
    <row r="89" spans="1:72" ht="6.75" customHeight="1" x14ac:dyDescent="0.2">
      <c r="B89" s="3"/>
      <c r="C89" s="7"/>
      <c r="D89" s="7"/>
      <c r="E89" s="7"/>
      <c r="F89" s="7"/>
      <c r="G89" s="7"/>
      <c r="H89" s="7"/>
      <c r="I89" s="7"/>
      <c r="J89" s="7"/>
      <c r="K89" s="7"/>
      <c r="L89" s="7"/>
      <c r="O89" s="7"/>
    </row>
    <row r="90" spans="1:72" ht="6.75" customHeight="1" x14ac:dyDescent="0.2">
      <c r="B90" s="3"/>
      <c r="C90" s="7"/>
      <c r="D90" s="7"/>
      <c r="E90" s="7"/>
      <c r="F90" s="7"/>
      <c r="G90" s="7"/>
      <c r="H90" s="7"/>
      <c r="I90" s="7"/>
      <c r="J90" s="7"/>
      <c r="K90" s="7"/>
      <c r="L90" s="7"/>
      <c r="O90" s="7"/>
    </row>
    <row r="91" spans="1:72" ht="6.75" customHeight="1" x14ac:dyDescent="0.2">
      <c r="B91" s="3"/>
      <c r="C91" s="7"/>
      <c r="D91" s="7"/>
      <c r="E91" s="7"/>
      <c r="F91" s="7"/>
      <c r="G91" s="7"/>
      <c r="H91" s="7"/>
      <c r="I91" s="7"/>
      <c r="J91" s="7"/>
      <c r="K91" s="7"/>
      <c r="L91" s="7"/>
      <c r="O91" s="7"/>
    </row>
    <row r="92" spans="1:72" ht="6.75" customHeight="1" x14ac:dyDescent="0.2">
      <c r="B92" s="3"/>
      <c r="C92" s="7"/>
      <c r="D92" s="7"/>
      <c r="E92" s="7"/>
      <c r="F92" s="7"/>
      <c r="G92" s="7"/>
      <c r="H92" s="7"/>
      <c r="I92" s="7"/>
      <c r="J92" s="7"/>
      <c r="K92" s="7"/>
      <c r="L92" s="7"/>
      <c r="O92" s="7"/>
    </row>
    <row r="93" spans="1:72" ht="6.75" customHeight="1" x14ac:dyDescent="0.2">
      <c r="B93" s="3"/>
      <c r="C93" s="7"/>
      <c r="D93" s="7"/>
      <c r="E93" s="7"/>
      <c r="F93" s="7"/>
      <c r="G93" s="7"/>
      <c r="H93" s="7"/>
      <c r="I93" s="7"/>
      <c r="J93" s="7"/>
      <c r="K93" s="7"/>
      <c r="L93" s="7"/>
      <c r="O93" s="7"/>
    </row>
    <row r="94" spans="1:72" ht="6.75" customHeight="1" x14ac:dyDescent="0.2">
      <c r="B94" s="3"/>
      <c r="C94" s="7"/>
      <c r="D94" s="7"/>
      <c r="E94" s="7"/>
      <c r="F94" s="7"/>
      <c r="G94" s="7"/>
      <c r="H94" s="7"/>
      <c r="I94" s="7"/>
      <c r="J94" s="7"/>
      <c r="K94" s="7"/>
      <c r="L94" s="7"/>
      <c r="O94" s="7"/>
    </row>
    <row r="95" spans="1:72" ht="6.75" customHeight="1" x14ac:dyDescent="0.2">
      <c r="B95" s="3"/>
      <c r="C95" s="7"/>
      <c r="D95" s="7"/>
      <c r="E95" s="7"/>
      <c r="F95" s="7"/>
      <c r="G95" s="7"/>
      <c r="H95" s="7"/>
      <c r="I95" s="7"/>
      <c r="J95" s="7"/>
      <c r="K95" s="7"/>
      <c r="L95" s="7"/>
      <c r="O95" s="7"/>
    </row>
    <row r="96" spans="1:72" ht="6.75" customHeight="1" x14ac:dyDescent="0.2">
      <c r="B96" s="3"/>
      <c r="C96" s="7"/>
      <c r="D96" s="7"/>
      <c r="E96" s="7"/>
      <c r="F96" s="7"/>
      <c r="G96" s="7"/>
      <c r="H96" s="7"/>
      <c r="I96" s="7"/>
      <c r="J96" s="7"/>
      <c r="K96" s="7"/>
      <c r="L96" s="7"/>
      <c r="O96" s="7"/>
    </row>
    <row r="97" spans="2:15" ht="6.75" customHeight="1" x14ac:dyDescent="0.2">
      <c r="B97" s="3"/>
      <c r="C97" s="7"/>
      <c r="D97" s="7"/>
      <c r="E97" s="7"/>
      <c r="F97" s="7"/>
      <c r="G97" s="7"/>
      <c r="H97" s="7"/>
      <c r="I97" s="7"/>
      <c r="J97" s="7"/>
      <c r="K97" s="7"/>
      <c r="L97" s="7"/>
      <c r="O97" s="7"/>
    </row>
    <row r="98" spans="2:15" ht="6.75" customHeight="1" x14ac:dyDescent="0.2">
      <c r="B98" s="3"/>
      <c r="C98" s="7"/>
      <c r="D98" s="7"/>
      <c r="E98" s="7"/>
      <c r="F98" s="7"/>
      <c r="G98" s="7"/>
      <c r="H98" s="7"/>
      <c r="I98" s="7"/>
      <c r="J98" s="7"/>
      <c r="K98" s="7"/>
      <c r="L98" s="7"/>
      <c r="O98" s="7"/>
    </row>
    <row r="99" spans="2:15" ht="6.75" customHeight="1" x14ac:dyDescent="0.2">
      <c r="B99" s="3"/>
      <c r="C99" s="7"/>
      <c r="D99" s="7"/>
      <c r="E99" s="7"/>
      <c r="F99" s="7"/>
      <c r="G99" s="7"/>
      <c r="H99" s="7"/>
      <c r="I99" s="7"/>
      <c r="J99" s="7"/>
      <c r="K99" s="7"/>
      <c r="L99" s="7"/>
      <c r="O99" s="7"/>
    </row>
    <row r="100" spans="2:15" ht="6.75" customHeight="1" x14ac:dyDescent="0.2">
      <c r="B100" s="3"/>
      <c r="C100" s="7"/>
      <c r="D100" s="7"/>
      <c r="E100" s="7"/>
      <c r="F100" s="7"/>
      <c r="G100" s="7"/>
      <c r="H100" s="7"/>
      <c r="I100" s="7"/>
      <c r="J100" s="7"/>
      <c r="K100" s="7"/>
      <c r="L100" s="7"/>
      <c r="O100" s="7"/>
    </row>
    <row r="101" spans="2:15" ht="6.75" customHeight="1" x14ac:dyDescent="0.2">
      <c r="B101" s="3"/>
      <c r="C101" s="7"/>
      <c r="D101" s="7"/>
      <c r="E101" s="7"/>
      <c r="F101" s="7"/>
      <c r="G101" s="7"/>
      <c r="H101" s="7"/>
      <c r="I101" s="7"/>
      <c r="J101" s="7"/>
      <c r="K101" s="7"/>
      <c r="L101" s="7"/>
      <c r="O101" s="7"/>
    </row>
    <row r="102" spans="2:15" ht="6.75" customHeight="1" x14ac:dyDescent="0.2">
      <c r="B102" s="3"/>
      <c r="C102" s="7"/>
      <c r="D102" s="7"/>
      <c r="E102" s="7"/>
      <c r="F102" s="7"/>
      <c r="G102" s="7"/>
      <c r="H102" s="7"/>
      <c r="I102" s="7"/>
      <c r="J102" s="7"/>
      <c r="K102" s="7"/>
      <c r="L102" s="7"/>
      <c r="O102" s="7"/>
    </row>
    <row r="103" spans="2:15" ht="6.75" customHeight="1" x14ac:dyDescent="0.2">
      <c r="B103" s="3"/>
      <c r="C103" s="7"/>
      <c r="D103" s="7"/>
      <c r="E103" s="7"/>
      <c r="F103" s="7"/>
      <c r="G103" s="7"/>
      <c r="H103" s="7"/>
      <c r="I103" s="7"/>
      <c r="J103" s="7"/>
      <c r="K103" s="7"/>
      <c r="L103" s="7"/>
      <c r="O103" s="7"/>
    </row>
    <row r="104" spans="2:15" ht="6.75" customHeight="1" x14ac:dyDescent="0.2">
      <c r="B104" s="3"/>
      <c r="C104" s="7"/>
      <c r="D104" s="7"/>
      <c r="E104" s="7"/>
      <c r="F104" s="7"/>
      <c r="G104" s="7"/>
      <c r="H104" s="7"/>
      <c r="I104" s="7"/>
      <c r="J104" s="7"/>
      <c r="K104" s="7"/>
      <c r="L104" s="7"/>
      <c r="O104" s="7"/>
    </row>
    <row r="105" spans="2:15" ht="6.75" customHeight="1" x14ac:dyDescent="0.2">
      <c r="B105" s="3"/>
      <c r="C105" s="7"/>
      <c r="D105" s="7"/>
      <c r="E105" s="7"/>
      <c r="F105" s="7"/>
      <c r="G105" s="7"/>
      <c r="H105" s="7"/>
      <c r="I105" s="7"/>
      <c r="J105" s="7"/>
      <c r="K105" s="7"/>
      <c r="L105" s="7"/>
      <c r="O105" s="7"/>
    </row>
    <row r="106" spans="2:15" ht="6.75" customHeight="1" x14ac:dyDescent="0.2">
      <c r="B106" s="3"/>
      <c r="C106" s="7"/>
      <c r="D106" s="7"/>
      <c r="E106" s="7"/>
      <c r="F106" s="7"/>
      <c r="G106" s="7"/>
      <c r="H106" s="7"/>
      <c r="I106" s="7"/>
      <c r="J106" s="7"/>
      <c r="K106" s="7"/>
      <c r="L106" s="7"/>
      <c r="O106" s="7"/>
    </row>
    <row r="107" spans="2:15" ht="6.75" customHeight="1" x14ac:dyDescent="0.2">
      <c r="B107" s="3"/>
      <c r="C107" s="7"/>
      <c r="D107" s="7"/>
      <c r="E107" s="7"/>
      <c r="F107" s="7"/>
      <c r="G107" s="7"/>
      <c r="H107" s="7"/>
      <c r="I107" s="7"/>
      <c r="J107" s="7"/>
      <c r="K107" s="7"/>
      <c r="L107" s="7"/>
      <c r="O107" s="7"/>
    </row>
    <row r="108" spans="2:15" ht="6.75" customHeight="1" x14ac:dyDescent="0.2">
      <c r="B108" s="3"/>
      <c r="C108" s="7"/>
      <c r="D108" s="7"/>
      <c r="E108" s="7"/>
      <c r="F108" s="7"/>
      <c r="G108" s="7"/>
      <c r="H108" s="7"/>
      <c r="I108" s="7"/>
      <c r="J108" s="7"/>
      <c r="K108" s="7"/>
      <c r="L108" s="7"/>
      <c r="O108" s="7"/>
    </row>
    <row r="109" spans="2:15" ht="6.75" customHeight="1" x14ac:dyDescent="0.2">
      <c r="B109" s="3"/>
      <c r="C109" s="7"/>
      <c r="D109" s="7"/>
      <c r="E109" s="7"/>
      <c r="F109" s="7"/>
      <c r="G109" s="7"/>
      <c r="H109" s="7"/>
      <c r="I109" s="7"/>
      <c r="J109" s="7"/>
      <c r="K109" s="7"/>
      <c r="L109" s="7"/>
      <c r="O109" s="7"/>
    </row>
    <row r="110" spans="2:15" ht="6.75" customHeight="1" x14ac:dyDescent="0.2">
      <c r="B110" s="3"/>
      <c r="C110" s="7"/>
      <c r="D110" s="7"/>
      <c r="E110" s="7"/>
      <c r="F110" s="7"/>
      <c r="G110" s="7"/>
      <c r="H110" s="7"/>
      <c r="I110" s="7"/>
      <c r="J110" s="7"/>
      <c r="K110" s="7"/>
      <c r="L110" s="7"/>
      <c r="O110" s="7"/>
    </row>
    <row r="111" spans="2:15" ht="6.75" customHeight="1" x14ac:dyDescent="0.2">
      <c r="B111" s="3"/>
      <c r="C111" s="7"/>
      <c r="D111" s="7"/>
      <c r="E111" s="7"/>
      <c r="F111" s="7"/>
      <c r="G111" s="7"/>
      <c r="H111" s="7"/>
      <c r="I111" s="7"/>
      <c r="J111" s="7"/>
      <c r="K111" s="7"/>
      <c r="L111" s="7"/>
      <c r="O111" s="7"/>
    </row>
    <row r="112" spans="2:15" ht="6.75" customHeight="1" x14ac:dyDescent="0.2">
      <c r="B112" s="3"/>
      <c r="C112" s="7"/>
      <c r="D112" s="7"/>
      <c r="E112" s="7"/>
      <c r="F112" s="7"/>
      <c r="G112" s="7"/>
      <c r="H112" s="7"/>
      <c r="I112" s="7"/>
      <c r="J112" s="7"/>
      <c r="K112" s="7"/>
      <c r="L112" s="7"/>
      <c r="O112" s="7"/>
    </row>
    <row r="113" spans="2:15" ht="6.75" customHeight="1" x14ac:dyDescent="0.2">
      <c r="B113" s="3"/>
      <c r="C113" s="7"/>
      <c r="D113" s="7"/>
      <c r="E113" s="7"/>
      <c r="F113" s="7"/>
      <c r="G113" s="7"/>
      <c r="H113" s="7"/>
      <c r="I113" s="7"/>
      <c r="J113" s="7"/>
      <c r="K113" s="7"/>
      <c r="L113" s="7"/>
      <c r="O113" s="7"/>
    </row>
    <row r="114" spans="2:15" ht="6.75" customHeight="1" x14ac:dyDescent="0.2">
      <c r="B114" s="3"/>
      <c r="C114" s="7"/>
      <c r="D114" s="7"/>
      <c r="E114" s="7"/>
      <c r="F114" s="7"/>
      <c r="G114" s="7"/>
      <c r="H114" s="7"/>
      <c r="I114" s="7"/>
      <c r="J114" s="7"/>
      <c r="K114" s="7"/>
      <c r="L114" s="7"/>
      <c r="O114" s="7"/>
    </row>
    <row r="115" spans="2:15" ht="6.75" customHeight="1" x14ac:dyDescent="0.2">
      <c r="B115" s="3"/>
      <c r="C115" s="7"/>
      <c r="D115" s="7"/>
      <c r="E115" s="7"/>
      <c r="F115" s="7"/>
      <c r="G115" s="7"/>
      <c r="H115" s="7"/>
      <c r="I115" s="7"/>
      <c r="J115" s="7"/>
      <c r="K115" s="7"/>
      <c r="L115" s="7"/>
      <c r="O115" s="7"/>
    </row>
    <row r="116" spans="2:15" ht="6.75" customHeight="1" x14ac:dyDescent="0.2">
      <c r="B116" s="3"/>
      <c r="C116" s="7"/>
      <c r="D116" s="7"/>
      <c r="E116" s="7"/>
      <c r="F116" s="7"/>
      <c r="G116" s="7"/>
      <c r="H116" s="7"/>
      <c r="I116" s="7"/>
      <c r="J116" s="7"/>
      <c r="K116" s="7"/>
      <c r="L116" s="7"/>
      <c r="O116" s="7"/>
    </row>
    <row r="117" spans="2:15" ht="6.75" customHeight="1" x14ac:dyDescent="0.2">
      <c r="B117" s="3"/>
      <c r="C117" s="7"/>
      <c r="D117" s="7"/>
      <c r="E117" s="7"/>
      <c r="F117" s="7"/>
      <c r="G117" s="7"/>
      <c r="H117" s="7"/>
      <c r="I117" s="7"/>
      <c r="J117" s="7"/>
      <c r="K117" s="7"/>
      <c r="L117" s="7"/>
      <c r="O117" s="7"/>
    </row>
    <row r="118" spans="2:15" ht="6.75" customHeight="1" x14ac:dyDescent="0.2">
      <c r="B118" s="3"/>
      <c r="C118" s="7"/>
      <c r="D118" s="7"/>
      <c r="E118" s="7"/>
      <c r="F118" s="7"/>
      <c r="G118" s="7"/>
      <c r="H118" s="7"/>
      <c r="I118" s="7"/>
      <c r="J118" s="7"/>
      <c r="K118" s="7"/>
      <c r="L118" s="7"/>
      <c r="O118" s="7"/>
    </row>
    <row r="119" spans="2:15" ht="6.75" customHeight="1" x14ac:dyDescent="0.2">
      <c r="B119" s="3"/>
      <c r="C119" s="7"/>
      <c r="D119" s="7"/>
      <c r="E119" s="7"/>
      <c r="F119" s="7"/>
      <c r="G119" s="7"/>
      <c r="H119" s="7"/>
      <c r="I119" s="7"/>
      <c r="J119" s="7"/>
      <c r="K119" s="7"/>
      <c r="L119" s="7"/>
      <c r="O119" s="7"/>
    </row>
    <row r="120" spans="2:15" ht="6.75" customHeight="1" x14ac:dyDescent="0.2">
      <c r="B120" s="3"/>
      <c r="C120" s="7"/>
      <c r="D120" s="7"/>
      <c r="E120" s="7"/>
      <c r="F120" s="7"/>
      <c r="G120" s="7"/>
      <c r="H120" s="7"/>
      <c r="I120" s="7"/>
      <c r="J120" s="7"/>
      <c r="K120" s="7"/>
      <c r="L120" s="7"/>
      <c r="O120" s="7"/>
    </row>
    <row r="121" spans="2:15" ht="6.75" customHeight="1" x14ac:dyDescent="0.2">
      <c r="B121" s="3"/>
      <c r="C121" s="7"/>
      <c r="D121" s="7"/>
      <c r="E121" s="7"/>
      <c r="F121" s="7"/>
      <c r="G121" s="7"/>
      <c r="H121" s="7"/>
      <c r="I121" s="7"/>
      <c r="J121" s="7"/>
      <c r="K121" s="7"/>
      <c r="L121" s="7"/>
      <c r="O121" s="7"/>
    </row>
    <row r="122" spans="2:15" ht="6.75" customHeight="1" x14ac:dyDescent="0.2">
      <c r="B122" s="3"/>
      <c r="C122" s="7"/>
      <c r="D122" s="7"/>
      <c r="E122" s="7"/>
      <c r="F122" s="7"/>
      <c r="G122" s="7"/>
      <c r="H122" s="7"/>
      <c r="I122" s="7"/>
      <c r="J122" s="7"/>
      <c r="K122" s="7"/>
      <c r="L122" s="7"/>
      <c r="O122" s="7"/>
    </row>
    <row r="123" spans="2:15" ht="6.75" customHeight="1" x14ac:dyDescent="0.2">
      <c r="B123" s="3"/>
      <c r="C123" s="7"/>
      <c r="D123" s="7"/>
      <c r="E123" s="7"/>
      <c r="F123" s="7"/>
      <c r="G123" s="7"/>
      <c r="H123" s="7"/>
      <c r="I123" s="7"/>
      <c r="J123" s="7"/>
      <c r="K123" s="7"/>
      <c r="L123" s="7"/>
      <c r="O123" s="7"/>
    </row>
    <row r="124" spans="2:15" ht="6.75" customHeight="1" x14ac:dyDescent="0.2">
      <c r="B124" s="3"/>
      <c r="C124" s="7"/>
      <c r="D124" s="7"/>
      <c r="E124" s="7"/>
      <c r="F124" s="7"/>
      <c r="G124" s="7"/>
      <c r="H124" s="7"/>
      <c r="I124" s="7"/>
      <c r="J124" s="7"/>
      <c r="K124" s="7"/>
      <c r="L124" s="7"/>
      <c r="O124" s="7"/>
    </row>
    <row r="125" spans="2:15" ht="6.75" customHeight="1" x14ac:dyDescent="0.2">
      <c r="B125" s="3"/>
      <c r="C125" s="7"/>
      <c r="D125" s="7"/>
      <c r="E125" s="7"/>
      <c r="F125" s="7"/>
      <c r="G125" s="7"/>
      <c r="H125" s="7"/>
      <c r="I125" s="7"/>
      <c r="J125" s="7"/>
      <c r="K125" s="7"/>
      <c r="L125" s="7"/>
      <c r="O125" s="7"/>
    </row>
    <row r="126" spans="2:15" ht="6.75" customHeight="1" x14ac:dyDescent="0.2">
      <c r="B126" s="3"/>
      <c r="C126" s="7"/>
      <c r="D126" s="7"/>
      <c r="E126" s="7"/>
      <c r="F126" s="7"/>
      <c r="G126" s="7"/>
      <c r="H126" s="7"/>
      <c r="I126" s="7"/>
      <c r="J126" s="7"/>
      <c r="K126" s="7"/>
      <c r="L126" s="7"/>
      <c r="O126" s="7"/>
    </row>
    <row r="127" spans="2:15" ht="6.75" customHeight="1" x14ac:dyDescent="0.2">
      <c r="B127" s="3"/>
      <c r="C127" s="7"/>
      <c r="D127" s="7"/>
      <c r="E127" s="7"/>
      <c r="F127" s="7"/>
      <c r="G127" s="7"/>
      <c r="H127" s="7"/>
      <c r="I127" s="7"/>
      <c r="J127" s="7"/>
      <c r="K127" s="7"/>
      <c r="L127" s="7"/>
      <c r="O127" s="7"/>
    </row>
    <row r="128" spans="2:15" ht="6.75" customHeight="1" x14ac:dyDescent="0.2">
      <c r="B128" s="3"/>
      <c r="C128" s="7"/>
      <c r="D128" s="7"/>
      <c r="E128" s="7"/>
      <c r="F128" s="7"/>
      <c r="G128" s="7"/>
      <c r="H128" s="7"/>
      <c r="I128" s="7"/>
      <c r="J128" s="7"/>
      <c r="K128" s="7"/>
      <c r="L128" s="7"/>
      <c r="O128" s="7"/>
    </row>
    <row r="129" spans="2:15" ht="6.75" customHeight="1" x14ac:dyDescent="0.2">
      <c r="B129" s="3"/>
      <c r="C129" s="7"/>
      <c r="D129" s="7"/>
      <c r="E129" s="7"/>
      <c r="F129" s="7"/>
      <c r="G129" s="7"/>
      <c r="H129" s="7"/>
      <c r="I129" s="7"/>
      <c r="J129" s="7"/>
      <c r="K129" s="7"/>
      <c r="L129" s="7"/>
      <c r="O129" s="7"/>
    </row>
    <row r="130" spans="2:15" ht="6.75" customHeight="1" x14ac:dyDescent="0.2">
      <c r="B130" s="3"/>
      <c r="C130" s="7"/>
      <c r="D130" s="7"/>
      <c r="E130" s="7"/>
      <c r="F130" s="7"/>
      <c r="G130" s="7"/>
      <c r="H130" s="7"/>
      <c r="I130" s="7"/>
      <c r="J130" s="7"/>
      <c r="K130" s="7"/>
      <c r="L130" s="7"/>
      <c r="O130" s="7"/>
    </row>
    <row r="131" spans="2:15" ht="6.75" customHeight="1" x14ac:dyDescent="0.2">
      <c r="B131" s="3"/>
      <c r="C131" s="7"/>
      <c r="D131" s="7"/>
      <c r="E131" s="7"/>
      <c r="F131" s="7"/>
      <c r="G131" s="7"/>
      <c r="H131" s="7"/>
      <c r="I131" s="7"/>
      <c r="J131" s="7"/>
      <c r="K131" s="7"/>
      <c r="L131" s="7"/>
      <c r="O131" s="7"/>
    </row>
    <row r="132" spans="2:15" ht="6.75" customHeight="1" x14ac:dyDescent="0.2">
      <c r="B132" s="3"/>
      <c r="C132" s="7"/>
      <c r="D132" s="7"/>
      <c r="E132" s="7"/>
      <c r="F132" s="7"/>
      <c r="G132" s="7"/>
      <c r="H132" s="7"/>
      <c r="I132" s="7"/>
      <c r="J132" s="7"/>
      <c r="K132" s="7"/>
      <c r="L132" s="7"/>
      <c r="O132" s="7"/>
    </row>
    <row r="133" spans="2:15" ht="6.75" customHeight="1" x14ac:dyDescent="0.2">
      <c r="B133" s="3"/>
      <c r="C133" s="7"/>
      <c r="D133" s="7"/>
      <c r="E133" s="7"/>
      <c r="F133" s="7"/>
      <c r="G133" s="7"/>
      <c r="H133" s="7"/>
      <c r="I133" s="7"/>
      <c r="J133" s="7"/>
      <c r="K133" s="7"/>
      <c r="L133" s="7"/>
      <c r="O133" s="7"/>
    </row>
    <row r="134" spans="2:15" ht="6.75" customHeight="1" x14ac:dyDescent="0.2">
      <c r="B134" s="3"/>
      <c r="C134" s="7"/>
      <c r="D134" s="7"/>
      <c r="E134" s="7"/>
      <c r="F134" s="7"/>
      <c r="G134" s="7"/>
      <c r="H134" s="7"/>
      <c r="I134" s="7"/>
      <c r="J134" s="7"/>
      <c r="K134" s="7"/>
      <c r="L134" s="7"/>
      <c r="O134" s="7"/>
    </row>
    <row r="135" spans="2:15" ht="6.75" customHeight="1" x14ac:dyDescent="0.2">
      <c r="B135" s="3"/>
      <c r="C135" s="7"/>
      <c r="D135" s="7"/>
      <c r="E135" s="7"/>
      <c r="F135" s="7"/>
      <c r="G135" s="7"/>
      <c r="H135" s="7"/>
      <c r="I135" s="7"/>
      <c r="J135" s="7"/>
      <c r="K135" s="7"/>
      <c r="L135" s="7"/>
      <c r="O135" s="7"/>
    </row>
    <row r="136" spans="2:15" ht="6.75" customHeight="1" x14ac:dyDescent="0.2">
      <c r="B136" s="3"/>
      <c r="C136" s="7"/>
      <c r="D136" s="7"/>
      <c r="E136" s="7"/>
      <c r="F136" s="7"/>
      <c r="G136" s="7"/>
      <c r="H136" s="7"/>
      <c r="I136" s="7"/>
      <c r="J136" s="7"/>
      <c r="K136" s="7"/>
      <c r="L136" s="7"/>
      <c r="O136" s="7"/>
    </row>
    <row r="137" spans="2:15" ht="6.75" customHeight="1" x14ac:dyDescent="0.2">
      <c r="B137" s="3"/>
      <c r="C137" s="7"/>
      <c r="D137" s="7"/>
      <c r="E137" s="7"/>
      <c r="F137" s="7"/>
      <c r="G137" s="7"/>
      <c r="H137" s="7"/>
      <c r="I137" s="7"/>
      <c r="J137" s="7"/>
      <c r="K137" s="7"/>
      <c r="L137" s="7"/>
      <c r="O137" s="7"/>
    </row>
    <row r="138" spans="2:15" ht="6.75" customHeight="1" x14ac:dyDescent="0.2">
      <c r="B138" s="3"/>
      <c r="C138" s="7"/>
      <c r="D138" s="7"/>
      <c r="E138" s="7"/>
      <c r="F138" s="7"/>
      <c r="G138" s="7"/>
      <c r="H138" s="7"/>
      <c r="I138" s="7"/>
      <c r="J138" s="7"/>
      <c r="K138" s="7"/>
      <c r="L138" s="7"/>
      <c r="O138" s="7"/>
    </row>
    <row r="139" spans="2:15" ht="6.75" customHeight="1" x14ac:dyDescent="0.2">
      <c r="B139" s="3"/>
      <c r="C139" s="7"/>
      <c r="D139" s="7"/>
      <c r="E139" s="7"/>
      <c r="F139" s="7"/>
      <c r="G139" s="7"/>
      <c r="H139" s="7"/>
      <c r="I139" s="7"/>
      <c r="J139" s="7"/>
      <c r="K139" s="7"/>
      <c r="L139" s="7"/>
      <c r="O139" s="7"/>
    </row>
    <row r="140" spans="2:15" ht="6.75" customHeight="1" x14ac:dyDescent="0.2">
      <c r="B140" s="3"/>
      <c r="C140" s="7"/>
      <c r="D140" s="7"/>
      <c r="E140" s="7"/>
      <c r="F140" s="7"/>
      <c r="G140" s="7"/>
      <c r="H140" s="7"/>
      <c r="I140" s="7"/>
      <c r="J140" s="7"/>
      <c r="K140" s="7"/>
      <c r="L140" s="7"/>
      <c r="O140" s="7"/>
    </row>
    <row r="141" spans="2:15" ht="6.75" customHeight="1" x14ac:dyDescent="0.2">
      <c r="B141" s="3"/>
      <c r="C141" s="7"/>
      <c r="D141" s="7"/>
      <c r="E141" s="7"/>
      <c r="F141" s="7"/>
      <c r="G141" s="7"/>
      <c r="H141" s="7"/>
      <c r="I141" s="7"/>
      <c r="J141" s="7"/>
      <c r="K141" s="7"/>
      <c r="L141" s="7"/>
      <c r="O141" s="7"/>
    </row>
    <row r="142" spans="2:15" ht="6.75" customHeight="1" x14ac:dyDescent="0.2">
      <c r="B142" s="3"/>
      <c r="C142" s="7"/>
      <c r="D142" s="7"/>
      <c r="E142" s="7"/>
      <c r="F142" s="7"/>
      <c r="G142" s="7"/>
      <c r="H142" s="7"/>
      <c r="I142" s="7"/>
      <c r="J142" s="7"/>
      <c r="K142" s="7"/>
      <c r="L142" s="7"/>
      <c r="O142" s="7"/>
    </row>
    <row r="143" spans="2:15" ht="6.75" customHeight="1" x14ac:dyDescent="0.2">
      <c r="B143" s="3"/>
      <c r="C143" s="7"/>
      <c r="D143" s="7"/>
      <c r="E143" s="7"/>
      <c r="F143" s="7"/>
      <c r="G143" s="7"/>
      <c r="H143" s="7"/>
      <c r="I143" s="7"/>
      <c r="J143" s="7"/>
      <c r="K143" s="7"/>
      <c r="L143" s="7"/>
      <c r="O143" s="7"/>
    </row>
    <row r="144" spans="2:15" ht="6.75" customHeight="1" x14ac:dyDescent="0.2">
      <c r="B144" s="3"/>
      <c r="C144" s="7"/>
      <c r="D144" s="7"/>
      <c r="E144" s="7"/>
      <c r="F144" s="7"/>
      <c r="G144" s="7"/>
      <c r="H144" s="7"/>
      <c r="I144" s="7"/>
      <c r="J144" s="7"/>
      <c r="K144" s="7"/>
      <c r="L144" s="7"/>
      <c r="O144" s="7"/>
    </row>
    <row r="145" spans="2:15" ht="6.75" customHeight="1" x14ac:dyDescent="0.2">
      <c r="B145" s="3"/>
      <c r="C145" s="7"/>
      <c r="D145" s="7"/>
      <c r="E145" s="7"/>
      <c r="F145" s="7"/>
      <c r="G145" s="7"/>
      <c r="H145" s="7"/>
      <c r="I145" s="7"/>
      <c r="J145" s="7"/>
      <c r="K145" s="7"/>
      <c r="L145" s="7"/>
      <c r="O145" s="7"/>
    </row>
    <row r="146" spans="2:15" ht="6.75" customHeight="1" x14ac:dyDescent="0.2">
      <c r="B146" s="3"/>
      <c r="C146" s="7"/>
      <c r="D146" s="7"/>
      <c r="E146" s="7"/>
      <c r="F146" s="7"/>
      <c r="G146" s="7"/>
      <c r="H146" s="7"/>
      <c r="I146" s="7"/>
      <c r="J146" s="7"/>
      <c r="K146" s="7"/>
      <c r="L146" s="7"/>
      <c r="O146" s="7"/>
    </row>
    <row r="147" spans="2:15" ht="6.75" customHeight="1" x14ac:dyDescent="0.2">
      <c r="B147" s="3"/>
      <c r="C147" s="7"/>
      <c r="D147" s="7"/>
      <c r="E147" s="7"/>
      <c r="F147" s="7"/>
      <c r="G147" s="7"/>
      <c r="H147" s="7"/>
      <c r="I147" s="7"/>
      <c r="J147" s="7"/>
      <c r="K147" s="7"/>
      <c r="L147" s="7"/>
      <c r="O147" s="7"/>
    </row>
    <row r="148" spans="2:15" ht="6.75" customHeight="1" x14ac:dyDescent="0.2">
      <c r="B148" s="3"/>
      <c r="C148" s="7"/>
      <c r="D148" s="7"/>
      <c r="E148" s="7"/>
      <c r="F148" s="7"/>
      <c r="G148" s="7"/>
      <c r="H148" s="7"/>
      <c r="I148" s="7"/>
      <c r="J148" s="7"/>
      <c r="K148" s="7"/>
      <c r="L148" s="7"/>
      <c r="O148" s="7"/>
    </row>
    <row r="149" spans="2:15" ht="6.75" customHeight="1" x14ac:dyDescent="0.2">
      <c r="B149" s="3"/>
      <c r="C149" s="7"/>
      <c r="D149" s="7"/>
      <c r="E149" s="7"/>
      <c r="F149" s="7"/>
      <c r="G149" s="7"/>
      <c r="H149" s="7"/>
      <c r="I149" s="7"/>
      <c r="J149" s="7"/>
      <c r="K149" s="7"/>
      <c r="L149" s="7"/>
      <c r="O149" s="7"/>
    </row>
    <row r="150" spans="2:15" ht="6.75" customHeight="1" x14ac:dyDescent="0.2">
      <c r="B150" s="3"/>
      <c r="C150" s="7"/>
      <c r="D150" s="7"/>
      <c r="E150" s="7"/>
      <c r="F150" s="7"/>
      <c r="G150" s="7"/>
      <c r="H150" s="7"/>
      <c r="I150" s="7"/>
      <c r="J150" s="7"/>
      <c r="K150" s="7"/>
      <c r="L150" s="7"/>
      <c r="O150" s="7"/>
    </row>
    <row r="151" spans="2:15" ht="6.75" customHeight="1" x14ac:dyDescent="0.2">
      <c r="B151" s="3"/>
      <c r="C151" s="7"/>
      <c r="D151" s="7"/>
      <c r="E151" s="7"/>
      <c r="F151" s="7"/>
      <c r="G151" s="7"/>
      <c r="H151" s="7"/>
      <c r="I151" s="7"/>
      <c r="J151" s="7"/>
      <c r="K151" s="7"/>
      <c r="L151" s="7"/>
      <c r="O151" s="7"/>
    </row>
    <row r="152" spans="2:15" ht="6.75" customHeight="1" x14ac:dyDescent="0.2">
      <c r="B152" s="3"/>
      <c r="C152" s="7"/>
      <c r="D152" s="7"/>
      <c r="E152" s="7"/>
      <c r="F152" s="7"/>
      <c r="G152" s="7"/>
      <c r="H152" s="7"/>
      <c r="I152" s="7"/>
      <c r="J152" s="7"/>
      <c r="K152" s="7"/>
      <c r="L152" s="7"/>
      <c r="O152" s="7"/>
    </row>
    <row r="153" spans="2:15" ht="6.75" customHeight="1" x14ac:dyDescent="0.2">
      <c r="B153" s="3"/>
      <c r="C153" s="7"/>
      <c r="D153" s="7"/>
      <c r="E153" s="7"/>
      <c r="F153" s="7"/>
      <c r="G153" s="7"/>
      <c r="H153" s="7"/>
      <c r="I153" s="7"/>
      <c r="J153" s="7"/>
      <c r="K153" s="7"/>
      <c r="L153" s="7"/>
      <c r="O153" s="7"/>
    </row>
    <row r="154" spans="2:15" ht="6.75" customHeight="1" x14ac:dyDescent="0.2">
      <c r="B154" s="3"/>
      <c r="C154" s="7"/>
      <c r="D154" s="7"/>
      <c r="E154" s="7"/>
      <c r="F154" s="7"/>
      <c r="G154" s="7"/>
      <c r="H154" s="7"/>
      <c r="I154" s="7"/>
      <c r="J154" s="7"/>
      <c r="K154" s="7"/>
      <c r="L154" s="7"/>
      <c r="O154" s="7"/>
    </row>
    <row r="155" spans="2:15" ht="6.75" customHeight="1" x14ac:dyDescent="0.2">
      <c r="B155" s="3"/>
      <c r="C155" s="7"/>
      <c r="D155" s="7"/>
      <c r="E155" s="7"/>
      <c r="F155" s="7"/>
      <c r="G155" s="7"/>
      <c r="H155" s="7"/>
      <c r="I155" s="7"/>
      <c r="J155" s="7"/>
      <c r="K155" s="7"/>
      <c r="L155" s="7"/>
      <c r="O155" s="7"/>
    </row>
    <row r="156" spans="2:15" ht="6.75" customHeight="1" x14ac:dyDescent="0.2">
      <c r="B156" s="3"/>
      <c r="C156" s="7"/>
      <c r="D156" s="7"/>
      <c r="E156" s="7"/>
      <c r="F156" s="7"/>
      <c r="G156" s="7"/>
      <c r="H156" s="7"/>
      <c r="I156" s="7"/>
      <c r="J156" s="7"/>
      <c r="K156" s="7"/>
      <c r="L156" s="7"/>
      <c r="O156" s="7"/>
    </row>
    <row r="157" spans="2:15" ht="6.75" customHeight="1" x14ac:dyDescent="0.2">
      <c r="B157" s="3"/>
      <c r="C157" s="7"/>
      <c r="D157" s="7"/>
      <c r="E157" s="7"/>
      <c r="F157" s="7"/>
      <c r="G157" s="7"/>
      <c r="H157" s="7"/>
      <c r="I157" s="7"/>
      <c r="J157" s="7"/>
      <c r="K157" s="7"/>
      <c r="L157" s="7"/>
      <c r="O157" s="7"/>
    </row>
    <row r="158" spans="2:15" ht="6.75" customHeight="1" x14ac:dyDescent="0.2">
      <c r="B158" s="3"/>
      <c r="C158" s="7"/>
      <c r="D158" s="7"/>
      <c r="E158" s="7"/>
      <c r="F158" s="7"/>
      <c r="G158" s="7"/>
      <c r="H158" s="7"/>
      <c r="I158" s="7"/>
      <c r="J158" s="7"/>
      <c r="K158" s="7"/>
      <c r="L158" s="7"/>
      <c r="O158" s="7"/>
    </row>
    <row r="159" spans="2:15" ht="6.75" customHeight="1" x14ac:dyDescent="0.2">
      <c r="B159" s="3"/>
      <c r="C159" s="7"/>
      <c r="D159" s="7"/>
      <c r="E159" s="7"/>
      <c r="F159" s="7"/>
      <c r="G159" s="7"/>
      <c r="H159" s="7"/>
      <c r="I159" s="7"/>
      <c r="J159" s="7"/>
      <c r="K159" s="7"/>
      <c r="L159" s="7"/>
      <c r="O159" s="7"/>
    </row>
    <row r="160" spans="2:15" ht="6.75" customHeight="1" x14ac:dyDescent="0.2">
      <c r="B160" s="3"/>
      <c r="C160" s="7"/>
      <c r="D160" s="7"/>
      <c r="E160" s="7"/>
      <c r="F160" s="7"/>
      <c r="G160" s="7"/>
      <c r="H160" s="7"/>
      <c r="I160" s="7"/>
      <c r="J160" s="7"/>
      <c r="K160" s="7"/>
      <c r="L160" s="7"/>
      <c r="O160" s="7"/>
    </row>
    <row r="161" spans="2:15" ht="6.75" customHeight="1" x14ac:dyDescent="0.2">
      <c r="B161" s="3"/>
      <c r="C161" s="7"/>
      <c r="D161" s="7"/>
      <c r="E161" s="7"/>
      <c r="F161" s="7"/>
      <c r="G161" s="7"/>
      <c r="H161" s="7"/>
      <c r="I161" s="7"/>
      <c r="J161" s="7"/>
      <c r="K161" s="7"/>
      <c r="L161" s="7"/>
      <c r="O161" s="7"/>
    </row>
    <row r="162" spans="2:15" ht="6.75" customHeight="1" x14ac:dyDescent="0.2">
      <c r="B162" s="3"/>
      <c r="C162" s="7"/>
      <c r="D162" s="7"/>
      <c r="E162" s="7"/>
      <c r="F162" s="7"/>
      <c r="G162" s="7"/>
      <c r="H162" s="7"/>
      <c r="I162" s="7"/>
      <c r="J162" s="7"/>
      <c r="K162" s="7"/>
      <c r="L162" s="7"/>
      <c r="O162" s="7"/>
    </row>
    <row r="163" spans="2:15" ht="6.75" customHeight="1" x14ac:dyDescent="0.2">
      <c r="B163" s="3"/>
      <c r="C163" s="7"/>
      <c r="D163" s="7"/>
      <c r="E163" s="7"/>
      <c r="F163" s="7"/>
      <c r="G163" s="7"/>
      <c r="H163" s="7"/>
      <c r="I163" s="7"/>
      <c r="J163" s="7"/>
      <c r="K163" s="7"/>
      <c r="L163" s="7"/>
      <c r="O163" s="7"/>
    </row>
  </sheetData>
  <sheetProtection password="DBF7" sheet="1" objects="1" scenarios="1" selectLockedCells="1"/>
  <mergeCells count="510">
    <mergeCell ref="A1:BK1"/>
    <mergeCell ref="A2:BK2"/>
    <mergeCell ref="A3:BK3"/>
    <mergeCell ref="A4:BK4"/>
    <mergeCell ref="A5:BK5"/>
    <mergeCell ref="A7:A8"/>
    <mergeCell ref="B7:K8"/>
    <mergeCell ref="L7:L8"/>
    <mergeCell ref="Z10:Z11"/>
    <mergeCell ref="A11:A12"/>
    <mergeCell ref="B11:B12"/>
    <mergeCell ref="C11:C12"/>
    <mergeCell ref="D11:D12"/>
    <mergeCell ref="E11:E12"/>
    <mergeCell ref="F11:F12"/>
    <mergeCell ref="G11:G12"/>
    <mergeCell ref="G9:G10"/>
    <mergeCell ref="H9:H10"/>
    <mergeCell ref="I9:I10"/>
    <mergeCell ref="J9:J10"/>
    <mergeCell ref="K9:K10"/>
    <mergeCell ref="L9:L10"/>
    <mergeCell ref="A9:A10"/>
    <mergeCell ref="B9:B10"/>
    <mergeCell ref="A13:A14"/>
    <mergeCell ref="B13:K14"/>
    <mergeCell ref="L13:L14"/>
    <mergeCell ref="O10:O11"/>
    <mergeCell ref="P10:Y11"/>
    <mergeCell ref="A17:A18"/>
    <mergeCell ref="B17:K18"/>
    <mergeCell ref="L17:L18"/>
    <mergeCell ref="AC15:AC16"/>
    <mergeCell ref="C9:C10"/>
    <mergeCell ref="D9:D10"/>
    <mergeCell ref="E9:E10"/>
    <mergeCell ref="F9:F10"/>
    <mergeCell ref="S14:S15"/>
    <mergeCell ref="T14:T15"/>
    <mergeCell ref="H11:H12"/>
    <mergeCell ref="I11:I12"/>
    <mergeCell ref="J11:J12"/>
    <mergeCell ref="K11:K12"/>
    <mergeCell ref="L11:L12"/>
    <mergeCell ref="AD15:AM16"/>
    <mergeCell ref="AN15:AN16"/>
    <mergeCell ref="O16:O17"/>
    <mergeCell ref="P16:P17"/>
    <mergeCell ref="Q16:Q17"/>
    <mergeCell ref="R16:R17"/>
    <mergeCell ref="S16:S17"/>
    <mergeCell ref="T16:T17"/>
    <mergeCell ref="U16:U17"/>
    <mergeCell ref="U14:U15"/>
    <mergeCell ref="V14:V15"/>
    <mergeCell ref="W14:W15"/>
    <mergeCell ref="X14:X15"/>
    <mergeCell ref="Y14:Y15"/>
    <mergeCell ref="Z14:Z15"/>
    <mergeCell ref="O14:O15"/>
    <mergeCell ref="P14:P15"/>
    <mergeCell ref="Q14:Q15"/>
    <mergeCell ref="R14:R15"/>
    <mergeCell ref="AQ17:BB18"/>
    <mergeCell ref="A19:A20"/>
    <mergeCell ref="B19:B20"/>
    <mergeCell ref="C19:C20"/>
    <mergeCell ref="D19:D20"/>
    <mergeCell ref="E19:E20"/>
    <mergeCell ref="F19:F20"/>
    <mergeCell ref="G19:G20"/>
    <mergeCell ref="H19:H20"/>
    <mergeCell ref="I19:I20"/>
    <mergeCell ref="V16:V17"/>
    <mergeCell ref="W16:W17"/>
    <mergeCell ref="X16:X17"/>
    <mergeCell ref="Y16:Y17"/>
    <mergeCell ref="Z16:Z17"/>
    <mergeCell ref="AQ20:AQ21"/>
    <mergeCell ref="AR20:BA21"/>
    <mergeCell ref="BB20:BB21"/>
    <mergeCell ref="A21:A22"/>
    <mergeCell ref="B21:B22"/>
    <mergeCell ref="C21:C22"/>
    <mergeCell ref="D21:D22"/>
    <mergeCell ref="E21:E22"/>
    <mergeCell ref="F21:F22"/>
    <mergeCell ref="G21:G22"/>
    <mergeCell ref="J19:J20"/>
    <mergeCell ref="K19:K20"/>
    <mergeCell ref="L19:L20"/>
    <mergeCell ref="O20:O21"/>
    <mergeCell ref="P20:Y21"/>
    <mergeCell ref="Z20:Z21"/>
    <mergeCell ref="H21:H22"/>
    <mergeCell ref="I21:I22"/>
    <mergeCell ref="J21:J22"/>
    <mergeCell ref="K21:K22"/>
    <mergeCell ref="L21:L22"/>
    <mergeCell ref="A23:A24"/>
    <mergeCell ref="B23:K24"/>
    <mergeCell ref="L23:L24"/>
    <mergeCell ref="AK24:AK25"/>
    <mergeCell ref="AL24:AL25"/>
    <mergeCell ref="AM24:AM25"/>
    <mergeCell ref="AN24:AN25"/>
    <mergeCell ref="AC24:AC25"/>
    <mergeCell ref="AD24:AD25"/>
    <mergeCell ref="AE24:AE25"/>
    <mergeCell ref="AF24:AF25"/>
    <mergeCell ref="AG24:AG25"/>
    <mergeCell ref="AH24:AH25"/>
    <mergeCell ref="BE25:BE26"/>
    <mergeCell ref="BF25:BJ26"/>
    <mergeCell ref="BK25:BK26"/>
    <mergeCell ref="AC26:AC27"/>
    <mergeCell ref="AD26:AD27"/>
    <mergeCell ref="AE26:AE27"/>
    <mergeCell ref="AF26:AF27"/>
    <mergeCell ref="AG26:AG27"/>
    <mergeCell ref="AH26:AH27"/>
    <mergeCell ref="AI26:AI27"/>
    <mergeCell ref="AW24:AW25"/>
    <mergeCell ref="AX24:AX25"/>
    <mergeCell ref="AY24:AY25"/>
    <mergeCell ref="AZ24:AZ25"/>
    <mergeCell ref="BA24:BA25"/>
    <mergeCell ref="BB24:BB25"/>
    <mergeCell ref="AQ24:AQ25"/>
    <mergeCell ref="AR24:AR25"/>
    <mergeCell ref="AS24:AS25"/>
    <mergeCell ref="AT24:AT25"/>
    <mergeCell ref="AU24:AU25"/>
    <mergeCell ref="AV24:AV25"/>
    <mergeCell ref="AI24:AI25"/>
    <mergeCell ref="AJ24:AJ25"/>
    <mergeCell ref="E29:E30"/>
    <mergeCell ref="F29:F30"/>
    <mergeCell ref="AX26:AX27"/>
    <mergeCell ref="AY26:AY27"/>
    <mergeCell ref="AZ26:AZ27"/>
    <mergeCell ref="BA26:BA27"/>
    <mergeCell ref="BB26:BB27"/>
    <mergeCell ref="A27:A28"/>
    <mergeCell ref="B27:K28"/>
    <mergeCell ref="L27:L28"/>
    <mergeCell ref="AR26:AR27"/>
    <mergeCell ref="AS26:AS27"/>
    <mergeCell ref="AT26:AT27"/>
    <mergeCell ref="AU26:AU27"/>
    <mergeCell ref="AV26:AV27"/>
    <mergeCell ref="AW26:AW27"/>
    <mergeCell ref="AJ26:AJ27"/>
    <mergeCell ref="AK26:AK27"/>
    <mergeCell ref="AL26:AL27"/>
    <mergeCell ref="AM26:AM27"/>
    <mergeCell ref="AN26:AN27"/>
    <mergeCell ref="AQ26:AQ27"/>
    <mergeCell ref="Z30:Z31"/>
    <mergeCell ref="AQ30:AQ31"/>
    <mergeCell ref="AR30:BA31"/>
    <mergeCell ref="BB30:BB31"/>
    <mergeCell ref="G29:G30"/>
    <mergeCell ref="H29:H30"/>
    <mergeCell ref="I29:I30"/>
    <mergeCell ref="J29:J30"/>
    <mergeCell ref="K29:K30"/>
    <mergeCell ref="L29:L30"/>
    <mergeCell ref="V34:V35"/>
    <mergeCell ref="AN35:AN36"/>
    <mergeCell ref="O36:O37"/>
    <mergeCell ref="P36:P37"/>
    <mergeCell ref="Q36:Q37"/>
    <mergeCell ref="R36:R37"/>
    <mergeCell ref="S36:S37"/>
    <mergeCell ref="T36:T37"/>
    <mergeCell ref="U36:U37"/>
    <mergeCell ref="V36:V37"/>
    <mergeCell ref="W36:W37"/>
    <mergeCell ref="X34:X35"/>
    <mergeCell ref="Y34:Y35"/>
    <mergeCell ref="Z34:Z35"/>
    <mergeCell ref="AC35:AC36"/>
    <mergeCell ref="AD35:AM36"/>
    <mergeCell ref="A33:A34"/>
    <mergeCell ref="B33:K34"/>
    <mergeCell ref="L33:L34"/>
    <mergeCell ref="O34:O35"/>
    <mergeCell ref="P34:P35"/>
    <mergeCell ref="G31:G32"/>
    <mergeCell ref="H31:H32"/>
    <mergeCell ref="I31:I32"/>
    <mergeCell ref="J31:J32"/>
    <mergeCell ref="K31:K32"/>
    <mergeCell ref="L31:L32"/>
    <mergeCell ref="A31:A32"/>
    <mergeCell ref="B31:B32"/>
    <mergeCell ref="C31:C32"/>
    <mergeCell ref="D31:D32"/>
    <mergeCell ref="E31:E32"/>
    <mergeCell ref="F31:F32"/>
    <mergeCell ref="O30:O31"/>
    <mergeCell ref="P30:Y31"/>
    <mergeCell ref="A29:A30"/>
    <mergeCell ref="B29:B30"/>
    <mergeCell ref="C29:C30"/>
    <mergeCell ref="D29:D30"/>
    <mergeCell ref="W34:W35"/>
    <mergeCell ref="X36:X37"/>
    <mergeCell ref="Y36:Y37"/>
    <mergeCell ref="Z36:Z37"/>
    <mergeCell ref="Q34:Q35"/>
    <mergeCell ref="R34:R35"/>
    <mergeCell ref="S34:S35"/>
    <mergeCell ref="T34:T35"/>
    <mergeCell ref="U34:U35"/>
    <mergeCell ref="F41:F42"/>
    <mergeCell ref="G39:G40"/>
    <mergeCell ref="H39:H40"/>
    <mergeCell ref="I39:I40"/>
    <mergeCell ref="J39:J40"/>
    <mergeCell ref="K39:K40"/>
    <mergeCell ref="L39:L40"/>
    <mergeCell ref="A37:A38"/>
    <mergeCell ref="B37:K38"/>
    <mergeCell ref="L37:L38"/>
    <mergeCell ref="A39:A40"/>
    <mergeCell ref="B39:B40"/>
    <mergeCell ref="C39:C40"/>
    <mergeCell ref="D39:D40"/>
    <mergeCell ref="E39:E40"/>
    <mergeCell ref="F39:F40"/>
    <mergeCell ref="BE42:BE43"/>
    <mergeCell ref="BF42:BJ43"/>
    <mergeCell ref="BK42:BK43"/>
    <mergeCell ref="A43:A44"/>
    <mergeCell ref="B43:K44"/>
    <mergeCell ref="L43:L44"/>
    <mergeCell ref="BE44:BE45"/>
    <mergeCell ref="BF44:BJ45"/>
    <mergeCell ref="BK44:BK45"/>
    <mergeCell ref="G41:G42"/>
    <mergeCell ref="H41:H42"/>
    <mergeCell ref="I41:I42"/>
    <mergeCell ref="J41:J42"/>
    <mergeCell ref="K41:K42"/>
    <mergeCell ref="L41:L42"/>
    <mergeCell ref="O40:O41"/>
    <mergeCell ref="P40:Y41"/>
    <mergeCell ref="Z40:Z41"/>
    <mergeCell ref="BE40:BK41"/>
    <mergeCell ref="A41:A42"/>
    <mergeCell ref="B41:B42"/>
    <mergeCell ref="C41:C42"/>
    <mergeCell ref="D41:D42"/>
    <mergeCell ref="E41:E42"/>
    <mergeCell ref="BE46:BE47"/>
    <mergeCell ref="BF46:BJ47"/>
    <mergeCell ref="BK46:BK47"/>
    <mergeCell ref="A47:A48"/>
    <mergeCell ref="B47:K48"/>
    <mergeCell ref="L47:L48"/>
    <mergeCell ref="BE48:BE49"/>
    <mergeCell ref="BF48:BJ49"/>
    <mergeCell ref="BK48:BK49"/>
    <mergeCell ref="Z50:Z51"/>
    <mergeCell ref="A51:A52"/>
    <mergeCell ref="B51:B52"/>
    <mergeCell ref="C51:C52"/>
    <mergeCell ref="D51:D52"/>
    <mergeCell ref="E51:E52"/>
    <mergeCell ref="F51:F52"/>
    <mergeCell ref="G51:G52"/>
    <mergeCell ref="G49:G50"/>
    <mergeCell ref="H49:H50"/>
    <mergeCell ref="I49:I50"/>
    <mergeCell ref="J49:J50"/>
    <mergeCell ref="K49:K50"/>
    <mergeCell ref="L49:L50"/>
    <mergeCell ref="A49:A50"/>
    <mergeCell ref="B49:B50"/>
    <mergeCell ref="C49:C50"/>
    <mergeCell ref="D49:D50"/>
    <mergeCell ref="E49:E50"/>
    <mergeCell ref="F49:F50"/>
    <mergeCell ref="T54:T55"/>
    <mergeCell ref="H51:H52"/>
    <mergeCell ref="I51:I52"/>
    <mergeCell ref="J51:J52"/>
    <mergeCell ref="K51:K52"/>
    <mergeCell ref="L51:L52"/>
    <mergeCell ref="A53:A54"/>
    <mergeCell ref="B53:K54"/>
    <mergeCell ref="L53:L54"/>
    <mergeCell ref="O50:O51"/>
    <mergeCell ref="P50:Y51"/>
    <mergeCell ref="A57:A58"/>
    <mergeCell ref="B57:K58"/>
    <mergeCell ref="L57:L58"/>
    <mergeCell ref="AC55:AC56"/>
    <mergeCell ref="AD55:AM56"/>
    <mergeCell ref="AN55:AN56"/>
    <mergeCell ref="O56:O57"/>
    <mergeCell ref="P56:P57"/>
    <mergeCell ref="Q56:Q57"/>
    <mergeCell ref="R56:R57"/>
    <mergeCell ref="S56:S57"/>
    <mergeCell ref="T56:T57"/>
    <mergeCell ref="U56:U57"/>
    <mergeCell ref="U54:U55"/>
    <mergeCell ref="V54:V55"/>
    <mergeCell ref="W54:W55"/>
    <mergeCell ref="X54:X55"/>
    <mergeCell ref="Y54:Y55"/>
    <mergeCell ref="Z54:Z55"/>
    <mergeCell ref="O54:O55"/>
    <mergeCell ref="P54:P55"/>
    <mergeCell ref="Q54:Q55"/>
    <mergeCell ref="R54:R55"/>
    <mergeCell ref="S54:S55"/>
    <mergeCell ref="AQ57:BB58"/>
    <mergeCell ref="A59:A60"/>
    <mergeCell ref="B59:B60"/>
    <mergeCell ref="C59:C60"/>
    <mergeCell ref="D59:D60"/>
    <mergeCell ref="E59:E60"/>
    <mergeCell ref="F59:F60"/>
    <mergeCell ref="G59:G60"/>
    <mergeCell ref="H59:H60"/>
    <mergeCell ref="I59:I60"/>
    <mergeCell ref="V56:V57"/>
    <mergeCell ref="W56:W57"/>
    <mergeCell ref="X56:X57"/>
    <mergeCell ref="Y56:Y57"/>
    <mergeCell ref="Z56:Z57"/>
    <mergeCell ref="AQ60:AQ61"/>
    <mergeCell ref="AR60:BA61"/>
    <mergeCell ref="BB60:BB61"/>
    <mergeCell ref="A61:A62"/>
    <mergeCell ref="B61:B62"/>
    <mergeCell ref="C61:C62"/>
    <mergeCell ref="D61:D62"/>
    <mergeCell ref="E61:E62"/>
    <mergeCell ref="F61:F62"/>
    <mergeCell ref="G61:G62"/>
    <mergeCell ref="J59:J60"/>
    <mergeCell ref="K59:K60"/>
    <mergeCell ref="L59:L60"/>
    <mergeCell ref="O60:O61"/>
    <mergeCell ref="P60:Y61"/>
    <mergeCell ref="Z60:Z61"/>
    <mergeCell ref="H61:H62"/>
    <mergeCell ref="I61:I62"/>
    <mergeCell ref="J61:J62"/>
    <mergeCell ref="K61:K62"/>
    <mergeCell ref="L61:L62"/>
    <mergeCell ref="A63:A64"/>
    <mergeCell ref="B63:K64"/>
    <mergeCell ref="L63:L64"/>
    <mergeCell ref="AK64:AK65"/>
    <mergeCell ref="AL64:AL65"/>
    <mergeCell ref="AM64:AM65"/>
    <mergeCell ref="AN64:AN65"/>
    <mergeCell ref="AC64:AC65"/>
    <mergeCell ref="AD64:AD65"/>
    <mergeCell ref="AE64:AE65"/>
    <mergeCell ref="AF64:AF65"/>
    <mergeCell ref="AG64:AG65"/>
    <mergeCell ref="AH64:AH65"/>
    <mergeCell ref="BE65:BE66"/>
    <mergeCell ref="BF65:BJ66"/>
    <mergeCell ref="BK65:BK66"/>
    <mergeCell ref="AC66:AC67"/>
    <mergeCell ref="AD66:AD67"/>
    <mergeCell ref="AE66:AE67"/>
    <mergeCell ref="AF66:AF67"/>
    <mergeCell ref="AG66:AG67"/>
    <mergeCell ref="AH66:AH67"/>
    <mergeCell ref="AI66:AI67"/>
    <mergeCell ref="AW64:AW65"/>
    <mergeCell ref="AX64:AX65"/>
    <mergeCell ref="AY64:AY65"/>
    <mergeCell ref="AZ64:AZ65"/>
    <mergeCell ref="BA64:BA65"/>
    <mergeCell ref="BB64:BB65"/>
    <mergeCell ref="AQ64:AQ65"/>
    <mergeCell ref="AR64:AR65"/>
    <mergeCell ref="AS64:AS65"/>
    <mergeCell ref="AT64:AT65"/>
    <mergeCell ref="AU64:AU65"/>
    <mergeCell ref="AV64:AV65"/>
    <mergeCell ref="AI64:AI65"/>
    <mergeCell ref="AJ64:AJ65"/>
    <mergeCell ref="A67:A68"/>
    <mergeCell ref="B67:K68"/>
    <mergeCell ref="L67:L68"/>
    <mergeCell ref="AR66:AR67"/>
    <mergeCell ref="AS66:AS67"/>
    <mergeCell ref="AT66:AT67"/>
    <mergeCell ref="AU66:AU67"/>
    <mergeCell ref="AV66:AV67"/>
    <mergeCell ref="AW66:AW67"/>
    <mergeCell ref="AJ66:AJ67"/>
    <mergeCell ref="AK66:AK67"/>
    <mergeCell ref="AL66:AL67"/>
    <mergeCell ref="AM66:AM67"/>
    <mergeCell ref="AN66:AN67"/>
    <mergeCell ref="AQ66:AQ67"/>
    <mergeCell ref="AC75:AC76"/>
    <mergeCell ref="AD75:AM76"/>
    <mergeCell ref="E69:E70"/>
    <mergeCell ref="F69:F70"/>
    <mergeCell ref="AX66:AX67"/>
    <mergeCell ref="AY66:AY67"/>
    <mergeCell ref="AZ66:AZ67"/>
    <mergeCell ref="BA66:BA67"/>
    <mergeCell ref="BB66:BB67"/>
    <mergeCell ref="Z70:Z71"/>
    <mergeCell ref="AQ70:AQ71"/>
    <mergeCell ref="O70:O71"/>
    <mergeCell ref="P70:Y71"/>
    <mergeCell ref="I71:I72"/>
    <mergeCell ref="J71:J72"/>
    <mergeCell ref="K71:K72"/>
    <mergeCell ref="L71:L72"/>
    <mergeCell ref="X74:X75"/>
    <mergeCell ref="Y74:Y75"/>
    <mergeCell ref="Z74:Z75"/>
    <mergeCell ref="A69:A70"/>
    <mergeCell ref="B69:B70"/>
    <mergeCell ref="C69:C70"/>
    <mergeCell ref="D69:D70"/>
    <mergeCell ref="W74:W75"/>
    <mergeCell ref="AR70:BA71"/>
    <mergeCell ref="BB70:BB71"/>
    <mergeCell ref="G69:G70"/>
    <mergeCell ref="H69:H70"/>
    <mergeCell ref="I69:I70"/>
    <mergeCell ref="J69:J70"/>
    <mergeCell ref="K69:K70"/>
    <mergeCell ref="L69:L70"/>
    <mergeCell ref="V74:V75"/>
    <mergeCell ref="AN75:AN76"/>
    <mergeCell ref="O76:O77"/>
    <mergeCell ref="P76:P77"/>
    <mergeCell ref="Q76:Q77"/>
    <mergeCell ref="R76:R77"/>
    <mergeCell ref="S76:S77"/>
    <mergeCell ref="T76:T77"/>
    <mergeCell ref="U76:U77"/>
    <mergeCell ref="G71:G72"/>
    <mergeCell ref="H71:H72"/>
    <mergeCell ref="A71:A72"/>
    <mergeCell ref="B71:B72"/>
    <mergeCell ref="C71:C72"/>
    <mergeCell ref="D71:D72"/>
    <mergeCell ref="E71:E72"/>
    <mergeCell ref="F71:F72"/>
    <mergeCell ref="X76:X77"/>
    <mergeCell ref="Y76:Y77"/>
    <mergeCell ref="Z76:Z77"/>
    <mergeCell ref="Q74:Q75"/>
    <mergeCell ref="R74:R75"/>
    <mergeCell ref="S74:S75"/>
    <mergeCell ref="T74:T75"/>
    <mergeCell ref="U74:U75"/>
    <mergeCell ref="A77:A78"/>
    <mergeCell ref="B77:K78"/>
    <mergeCell ref="L77:L78"/>
    <mergeCell ref="A73:A74"/>
    <mergeCell ref="B73:K74"/>
    <mergeCell ref="L73:L74"/>
    <mergeCell ref="O74:O75"/>
    <mergeCell ref="P74:P75"/>
    <mergeCell ref="V76:V77"/>
    <mergeCell ref="W76:W77"/>
    <mergeCell ref="AO77:AP78"/>
    <mergeCell ref="A79:A80"/>
    <mergeCell ref="B79:B80"/>
    <mergeCell ref="C79:C80"/>
    <mergeCell ref="D79:D80"/>
    <mergeCell ref="E79:E80"/>
    <mergeCell ref="L79:L80"/>
    <mergeCell ref="AO79:AP80"/>
    <mergeCell ref="O80:O81"/>
    <mergeCell ref="P80:Y81"/>
    <mergeCell ref="Z80:Z81"/>
    <mergeCell ref="A81:A82"/>
    <mergeCell ref="B81:B82"/>
    <mergeCell ref="C81:C82"/>
    <mergeCell ref="D81:D82"/>
    <mergeCell ref="E81:E82"/>
    <mergeCell ref="F79:F80"/>
    <mergeCell ref="G79:G80"/>
    <mergeCell ref="H79:H80"/>
    <mergeCell ref="I79:I80"/>
    <mergeCell ref="J79:J80"/>
    <mergeCell ref="K79:K80"/>
    <mergeCell ref="L81:L82"/>
    <mergeCell ref="AO81:AP82"/>
    <mergeCell ref="A83:A84"/>
    <mergeCell ref="B83:K84"/>
    <mergeCell ref="L83:L84"/>
    <mergeCell ref="AO83:AP84"/>
    <mergeCell ref="F81:F82"/>
    <mergeCell ref="G81:G82"/>
    <mergeCell ref="H81:H82"/>
    <mergeCell ref="I81:I82"/>
    <mergeCell ref="J81:J82"/>
    <mergeCell ref="K81:K82"/>
  </mergeCells>
  <conditionalFormatting sqref="P10:T11 P30:T31 P50:T51 P70:T71 AR60:AV61">
    <cfRule type="expression" dxfId="178" priority="91">
      <formula>AND(O10=AC15,AC15&lt;&gt;" ")</formula>
    </cfRule>
  </conditionalFormatting>
  <conditionalFormatting sqref="Z10:Z11 Z30:Z31 Z50:Z51 Z70:Z71 BB60:BB61">
    <cfRule type="expression" dxfId="177" priority="90">
      <formula>AND(O10=AC15,AC15&lt;&gt;" ")</formula>
    </cfRule>
  </conditionalFormatting>
  <conditionalFormatting sqref="P20:Y21 P40:Y41 P60:Y61 P80:Y81 AR70:AZ71">
    <cfRule type="expression" dxfId="176" priority="89">
      <formula>AND(O20=AC15,AC15&lt;&gt;" ")</formula>
    </cfRule>
  </conditionalFormatting>
  <conditionalFormatting sqref="Z20:Z21 Z40:Z41 Z60:Z61 Z80:Z81">
    <cfRule type="expression" dxfId="175" priority="88">
      <formula>AND(O20=AC15,AC15&lt;&gt;" ")</formula>
    </cfRule>
  </conditionalFormatting>
  <conditionalFormatting sqref="AR20:AV21">
    <cfRule type="expression" dxfId="174" priority="87">
      <formula>AND(AQ20=BE25,BE25&lt;&gt;" ")</formula>
    </cfRule>
  </conditionalFormatting>
  <conditionalFormatting sqref="BB20:BB21">
    <cfRule type="expression" dxfId="173" priority="86">
      <formula>AND(AQ20=BE25,BE25&lt;&gt;" ")</formula>
    </cfRule>
  </conditionalFormatting>
  <conditionalFormatting sqref="AR30:BA31">
    <cfRule type="expression" dxfId="172" priority="85">
      <formula>AND(AQ30=BE25,BE25&lt;&gt;" ")</formula>
    </cfRule>
  </conditionalFormatting>
  <conditionalFormatting sqref="BB30:BB31">
    <cfRule type="expression" dxfId="171" priority="84">
      <formula>AND(AQ30=BE25,BE25&lt;&gt;" ")</formula>
    </cfRule>
  </conditionalFormatting>
  <conditionalFormatting sqref="AD55:AN56">
    <cfRule type="expression" dxfId="170" priority="83">
      <formula>AND($AC$55=$AQ$30,$AQ$30&lt;&gt;" ")</formula>
    </cfRule>
  </conditionalFormatting>
  <conditionalFormatting sqref="AN75:AN76">
    <cfRule type="expression" dxfId="169" priority="82">
      <formula>AND(AC75=$AQ$30,$AQ$30&lt;&gt;" ")</formula>
    </cfRule>
  </conditionalFormatting>
  <conditionalFormatting sqref="AD75:AM76">
    <cfRule type="expression" dxfId="168" priority="81">
      <formula>AND($AC$75=$AQ$30,$AQ$30&lt;&gt;" ")</formula>
    </cfRule>
  </conditionalFormatting>
  <conditionalFormatting sqref="AD15:AN16">
    <cfRule type="expression" dxfId="167" priority="80">
      <formula>AND($AC$15=$AQ$20,$AQ$20&lt;&gt;" ")</formula>
    </cfRule>
  </conditionalFormatting>
  <conditionalFormatting sqref="AD35:AN36">
    <cfRule type="expression" dxfId="166" priority="79">
      <formula>AND($AC$35=$AQ$20,$AQ$20&lt;&gt;" ")</formula>
    </cfRule>
  </conditionalFormatting>
  <conditionalFormatting sqref="BB70:BB71">
    <cfRule type="expression" dxfId="165" priority="75">
      <formula>AND(AQ70=BE65,BE65&lt;&gt;" ")</formula>
    </cfRule>
  </conditionalFormatting>
  <conditionalFormatting sqref="B7:F8 B17:F18 B27:F28 B37:F38 B47:F48 B57:F58 B67:F68 B77:F78">
    <cfRule type="expression" dxfId="164" priority="74">
      <formula>AND(A7=O10,O10&lt;&gt;" ")</formula>
    </cfRule>
  </conditionalFormatting>
  <conditionalFormatting sqref="L7:L8 L17:L18 L27:L28 L37:L38 L47:L48 L57:L58 L67:L68 L77:L78">
    <cfRule type="expression" dxfId="163" priority="73">
      <formula>AND(A7=O10,O10&lt;&gt;" ")</formula>
    </cfRule>
  </conditionalFormatting>
  <conditionalFormatting sqref="B13:K14 B23:K24 B33:K34 B43:K44 B53:K54 B63:K64 B73:K74 B83:K84">
    <cfRule type="expression" dxfId="162" priority="72">
      <formula>AND(A13=O10,O10&lt;&gt;" ")</formula>
    </cfRule>
  </conditionalFormatting>
  <conditionalFormatting sqref="L13:L14 L23:L24 L33:L34 L43:L44 L53:L54 L63:L64 L73:L74 L83:L84">
    <cfRule type="expression" dxfId="161" priority="71">
      <formula>AND(A13=O10,O10&lt;&gt;" ")</formula>
    </cfRule>
  </conditionalFormatting>
  <conditionalFormatting sqref="A9:A12 A19:A22 A29:A32 A39:A42 A49:A52 A59:A62 A69:A72 A79:A82">
    <cfRule type="expression" dxfId="160" priority="69">
      <formula>AND(MOD(A9,2)=0,A9&lt;&gt;"")</formula>
    </cfRule>
    <cfRule type="expression" dxfId="159" priority="70">
      <formula>AND(MOD(A9,2)=1,A9&lt;&gt;"")</formula>
    </cfRule>
  </conditionalFormatting>
  <conditionalFormatting sqref="A11:A12 A21:A22 A31:A32 A41:A42 A51:A52 A61:A62 A71:A72 A81:A82">
    <cfRule type="expression" dxfId="158" priority="67">
      <formula>AND(MOD(A11,2)=0,A11&lt;&gt;"")</formula>
    </cfRule>
    <cfRule type="expression" dxfId="157" priority="68">
      <formula>AND(MOD(A11,2)=1,A11&lt;&gt;"")</formula>
    </cfRule>
  </conditionalFormatting>
  <conditionalFormatting sqref="O14:O15">
    <cfRule type="expression" dxfId="156" priority="65">
      <formula>AND(MOD(O14,2)=0,O14&lt;&gt;"")</formula>
    </cfRule>
    <cfRule type="expression" dxfId="155" priority="66">
      <formula>AND(MOD(O14,2)=1,O14&lt;&gt;"")</formula>
    </cfRule>
  </conditionalFormatting>
  <conditionalFormatting sqref="O16:O17">
    <cfRule type="expression" dxfId="154" priority="63">
      <formula>AND(MOD(O16,2)=0,O16&lt;&gt;"")</formula>
    </cfRule>
    <cfRule type="expression" dxfId="153" priority="64">
      <formula>AND(MOD(O16,2)=1,O16&lt;&gt;"")</formula>
    </cfRule>
  </conditionalFormatting>
  <conditionalFormatting sqref="O34:O35 O54:O55 O74:O75">
    <cfRule type="expression" dxfId="152" priority="61">
      <formula>AND(MOD(O34,2)=0,O34&lt;&gt;"")</formula>
    </cfRule>
    <cfRule type="expression" dxfId="151" priority="62">
      <formula>AND(MOD(O34,2)=1,O34&lt;&gt;"")</formula>
    </cfRule>
  </conditionalFormatting>
  <conditionalFormatting sqref="O36:O37 O56:O57 O76:O77">
    <cfRule type="expression" dxfId="150" priority="59">
      <formula>AND(MOD(O36,2)=0,O36&lt;&gt;"")</formula>
    </cfRule>
    <cfRule type="expression" dxfId="149" priority="60">
      <formula>AND(MOD(O36,2)=1,O36&lt;&gt;"")</formula>
    </cfRule>
  </conditionalFormatting>
  <conditionalFormatting sqref="AC24:AC25">
    <cfRule type="expression" dxfId="148" priority="57">
      <formula>AND(MOD(AC24,2)=0,AC24&lt;&gt;"")</formula>
    </cfRule>
    <cfRule type="expression" dxfId="147" priority="58">
      <formula>AND(MOD(AC24,2)=1,AC24&lt;&gt;"")</formula>
    </cfRule>
  </conditionalFormatting>
  <conditionalFormatting sqref="AC26:AC27">
    <cfRule type="expression" dxfId="146" priority="55">
      <formula>AND(MOD(AC26,2)=0,AC26&lt;&gt;"")</formula>
    </cfRule>
    <cfRule type="expression" dxfId="145" priority="56">
      <formula>AND(MOD(AC26,2)=1,AC26&lt;&gt;"")</formula>
    </cfRule>
  </conditionalFormatting>
  <conditionalFormatting sqref="AC64:AC65">
    <cfRule type="expression" dxfId="144" priority="53">
      <formula>AND(MOD(AC64,2)=0,AC64&lt;&gt;"")</formula>
    </cfRule>
    <cfRule type="expression" dxfId="143" priority="54">
      <formula>AND(MOD(AC64,2)=1,AC64&lt;&gt;"")</formula>
    </cfRule>
  </conditionalFormatting>
  <conditionalFormatting sqref="AC66:AC67">
    <cfRule type="expression" dxfId="142" priority="51">
      <formula>AND(MOD(AC66,2)=0,AC66&lt;&gt;"")</formula>
    </cfRule>
    <cfRule type="expression" dxfId="141" priority="52">
      <formula>AND(MOD(AC66,2)=1,AC66&lt;&gt;"")</formula>
    </cfRule>
  </conditionalFormatting>
  <conditionalFormatting sqref="AQ24:AQ25">
    <cfRule type="expression" dxfId="140" priority="49">
      <formula>AND(MOD(AQ24,2)=0,AQ24&lt;&gt;"")</formula>
    </cfRule>
    <cfRule type="expression" dxfId="139" priority="50">
      <formula>AND(MOD(AQ24,2)=1,AQ24&lt;&gt;"")</formula>
    </cfRule>
  </conditionalFormatting>
  <conditionalFormatting sqref="AQ26:AQ27">
    <cfRule type="expression" dxfId="138" priority="47">
      <formula>AND(MOD(AQ26,2)=0,AQ26&lt;&gt;"")</formula>
    </cfRule>
    <cfRule type="expression" dxfId="137" priority="48">
      <formula>AND(MOD(AQ26,2)=1,AQ26&lt;&gt;"")</formula>
    </cfRule>
  </conditionalFormatting>
  <conditionalFormatting sqref="AQ64:AQ65">
    <cfRule type="expression" dxfId="136" priority="45">
      <formula>AND(MOD(AQ64,2)=0,AQ64&lt;&gt;"")</formula>
    </cfRule>
    <cfRule type="expression" dxfId="135" priority="46">
      <formula>AND(MOD(AQ64,2)=1,AQ64&lt;&gt;"")</formula>
    </cfRule>
  </conditionalFormatting>
  <conditionalFormatting sqref="AQ66:AQ67">
    <cfRule type="expression" dxfId="134" priority="43">
      <formula>AND(MOD(AQ66,2)=0,AQ66&lt;&gt;"")</formula>
    </cfRule>
    <cfRule type="expression" dxfId="133" priority="44">
      <formula>AND(MOD(AQ66,2)=1,AQ66&lt;&gt;"")</formula>
    </cfRule>
  </conditionalFormatting>
  <conditionalFormatting sqref="O14:O15">
    <cfRule type="expression" dxfId="132" priority="41">
      <formula>AND(MOD(O14,2)=0,O14&lt;&gt;"")</formula>
    </cfRule>
    <cfRule type="expression" dxfId="131" priority="42">
      <formula>AND(MOD(O14,2)=1,O14&lt;&gt;"")</formula>
    </cfRule>
  </conditionalFormatting>
  <conditionalFormatting sqref="O16:O17">
    <cfRule type="expression" dxfId="130" priority="39">
      <formula>AND(MOD(O16,2)=0,O16&lt;&gt;"")</formula>
    </cfRule>
    <cfRule type="expression" dxfId="129" priority="40">
      <formula>AND(MOD(O16,2)=1,O16&lt;&gt;"")</formula>
    </cfRule>
  </conditionalFormatting>
  <conditionalFormatting sqref="O16:O17">
    <cfRule type="expression" dxfId="128" priority="37">
      <formula>AND(MOD(O16,2)=0,O16&lt;&gt;"")</formula>
    </cfRule>
    <cfRule type="expression" dxfId="127" priority="38">
      <formula>AND(MOD(O16,2)=1,O16&lt;&gt;"")</formula>
    </cfRule>
  </conditionalFormatting>
  <conditionalFormatting sqref="O34:O35">
    <cfRule type="expression" dxfId="126" priority="35">
      <formula>AND(MOD(O34,2)=0,O34&lt;&gt;"")</formula>
    </cfRule>
    <cfRule type="expression" dxfId="125" priority="36">
      <formula>AND(MOD(O34,2)=1,O34&lt;&gt;"")</formula>
    </cfRule>
  </conditionalFormatting>
  <conditionalFormatting sqref="O36:O37">
    <cfRule type="expression" dxfId="124" priority="33">
      <formula>AND(MOD(O36,2)=0,O36&lt;&gt;"")</formula>
    </cfRule>
    <cfRule type="expression" dxfId="123" priority="34">
      <formula>AND(MOD(O36,2)=1,O36&lt;&gt;"")</formula>
    </cfRule>
  </conditionalFormatting>
  <conditionalFormatting sqref="O34:O35">
    <cfRule type="expression" dxfId="122" priority="31">
      <formula>AND(MOD(O34,2)=0,O34&lt;&gt;"")</formula>
    </cfRule>
    <cfRule type="expression" dxfId="121" priority="32">
      <formula>AND(MOD(O34,2)=1,O34&lt;&gt;"")</formula>
    </cfRule>
  </conditionalFormatting>
  <conditionalFormatting sqref="O36:O37">
    <cfRule type="expression" dxfId="120" priority="29">
      <formula>AND(MOD(O36,2)=0,O36&lt;&gt;"")</formula>
    </cfRule>
    <cfRule type="expression" dxfId="119" priority="30">
      <formula>AND(MOD(O36,2)=1,O36&lt;&gt;"")</formula>
    </cfRule>
  </conditionalFormatting>
  <conditionalFormatting sqref="O36:O37">
    <cfRule type="expression" dxfId="118" priority="27">
      <formula>AND(MOD(O36,2)=0,O36&lt;&gt;"")</formula>
    </cfRule>
    <cfRule type="expression" dxfId="117" priority="28">
      <formula>AND(MOD(O36,2)=1,O36&lt;&gt;"")</formula>
    </cfRule>
  </conditionalFormatting>
  <conditionalFormatting sqref="AC24:AC25">
    <cfRule type="expression" dxfId="116" priority="25">
      <formula>AND(MOD(AC24,2)=0,AC24&lt;&gt;"")</formula>
    </cfRule>
    <cfRule type="expression" dxfId="115" priority="26">
      <formula>AND(MOD(AC24,2)=1,AC24&lt;&gt;"")</formula>
    </cfRule>
  </conditionalFormatting>
  <conditionalFormatting sqref="AC26:AC27">
    <cfRule type="expression" dxfId="114" priority="23">
      <formula>AND(MOD(AC26,2)=0,AC26&lt;&gt;"")</formula>
    </cfRule>
    <cfRule type="expression" dxfId="113" priority="24">
      <formula>AND(MOD(AC26,2)=1,AC26&lt;&gt;"")</formula>
    </cfRule>
  </conditionalFormatting>
  <conditionalFormatting sqref="AC26:AC27">
    <cfRule type="expression" dxfId="112" priority="21">
      <formula>AND(MOD(AC26,2)=0,AC26&lt;&gt;"")</formula>
    </cfRule>
    <cfRule type="expression" dxfId="111" priority="22">
      <formula>AND(MOD(AC26,2)=1,AC26&lt;&gt;"")</formula>
    </cfRule>
  </conditionalFormatting>
  <conditionalFormatting sqref="AQ24:AQ25">
    <cfRule type="expression" dxfId="110" priority="19">
      <formula>AND(MOD(AQ24,2)=0,AQ24&lt;&gt;"")</formula>
    </cfRule>
    <cfRule type="expression" dxfId="109" priority="20">
      <formula>AND(MOD(AQ24,2)=1,AQ24&lt;&gt;"")</formula>
    </cfRule>
  </conditionalFormatting>
  <conditionalFormatting sqref="AQ24:AQ25">
    <cfRule type="expression" dxfId="108" priority="17">
      <formula>AND(MOD(AQ24,2)=0,AQ24&lt;&gt;"")</formula>
    </cfRule>
    <cfRule type="expression" dxfId="107" priority="18">
      <formula>AND(MOD(AQ24,2)=1,AQ24&lt;&gt;"")</formula>
    </cfRule>
  </conditionalFormatting>
  <conditionalFormatting sqref="AQ26:AQ27">
    <cfRule type="expression" dxfId="106" priority="15">
      <formula>AND(MOD(AQ26,2)=0,AQ26&lt;&gt;"")</formula>
    </cfRule>
    <cfRule type="expression" dxfId="105" priority="16">
      <formula>AND(MOD(AQ26,2)=1,AQ26&lt;&gt;"")</formula>
    </cfRule>
  </conditionalFormatting>
  <conditionalFormatting sqref="AQ64:AQ65">
    <cfRule type="expression" dxfId="104" priority="13">
      <formula>AND(MOD(AQ64,2)=0,AQ64&lt;&gt;"")</formula>
    </cfRule>
    <cfRule type="expression" dxfId="103" priority="14">
      <formula>AND(MOD(AQ64,2)=1,AQ64&lt;&gt;"")</formula>
    </cfRule>
  </conditionalFormatting>
  <conditionalFormatting sqref="AQ66:AQ67">
    <cfRule type="expression" dxfId="102" priority="11">
      <formula>AND(MOD(AQ66,2)=0,AQ66&lt;&gt;"")</formula>
    </cfRule>
    <cfRule type="expression" dxfId="101" priority="12">
      <formula>AND(MOD(AQ66,2)=1,AQ66&lt;&gt;"")</formula>
    </cfRule>
  </conditionalFormatting>
  <conditionalFormatting sqref="AQ64:AQ65">
    <cfRule type="expression" dxfId="100" priority="9">
      <formula>AND(MOD(AQ64,2)=0,AQ64&lt;&gt;"")</formula>
    </cfRule>
    <cfRule type="expression" dxfId="99" priority="10">
      <formula>AND(MOD(AQ64,2)=1,AQ64&lt;&gt;"")</formula>
    </cfRule>
  </conditionalFormatting>
  <conditionalFormatting sqref="AQ64:AQ65">
    <cfRule type="expression" dxfId="98" priority="7">
      <formula>AND(MOD(AQ64,2)=0,AQ64&lt;&gt;"")</formula>
    </cfRule>
    <cfRule type="expression" dxfId="97" priority="8">
      <formula>AND(MOD(AQ64,2)=1,AQ64&lt;&gt;"")</formula>
    </cfRule>
  </conditionalFormatting>
  <conditionalFormatting sqref="AQ66:AQ67">
    <cfRule type="expression" dxfId="96" priority="5">
      <formula>AND(MOD(AQ66,2)=0,AQ66&lt;&gt;"")</formula>
    </cfRule>
    <cfRule type="expression" dxfId="95" priority="6">
      <formula>AND(MOD(AQ66,2)=1,AQ66&lt;&gt;"")</formula>
    </cfRule>
  </conditionalFormatting>
  <conditionalFormatting sqref="BM77:BM88 A53:BD64 A90:XFD1048576 A68:BL89 BM89:XFD89 BS68:XFD72 A1:XFD49 A66:XFD67 BL53:BM64 A65:BM65 A50:BM52 BQ50:XFD65 BP73:BR73 BT73:XFD88 BO77:BO88 BP74:BP88 BQ74:BR76">
    <cfRule type="expression" dxfId="94" priority="4">
      <formula>OR($BE$50&lt;=$BE$52)</formula>
    </cfRule>
  </conditionalFormatting>
  <conditionalFormatting sqref="BA70:BA71">
    <cfRule type="expression" dxfId="93" priority="110">
      <formula>AND(AZ70=#REF!,#REF!&lt;&gt;" ")</formula>
    </cfRule>
  </conditionalFormatting>
  <conditionalFormatting sqref="BN50:BP65">
    <cfRule type="expression" dxfId="92" priority="2">
      <formula>OR($BE$50&lt;=$BE$52)</formula>
    </cfRule>
  </conditionalFormatting>
  <conditionalFormatting sqref="BQ77:BQ80">
    <cfRule type="expression" dxfId="91" priority="1">
      <formula>OR($BE$50&lt;=$BE$52)</formula>
    </cfRule>
  </conditionalFormatting>
  <dataValidations count="1">
    <dataValidation type="whole" allowBlank="1" showInputMessage="1" showErrorMessage="1" sqref="B9:F12 B59:F62 B69:F72 P14:T17 AD24:AH27 AD64:AH67 AR24:AV27 AR64:AV67 B79:F82 B19:F22 B29:F32 B39:F42 B49:F52 P34:T37 P54:T57 P74:T77">
      <formula1>0</formula1>
      <formula2>30</formula2>
    </dataValidation>
  </dataValidations>
  <printOptions horizontalCentered="1" verticalCentered="1"/>
  <pageMargins left="0.39370078740157483" right="0.39370078740157483" top="0.59055118110236227" bottom="0.59055118110236227" header="0" footer="0"/>
  <pageSetup paperSize="9" scale="6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T163"/>
  <sheetViews>
    <sheetView showGridLines="0" showRowColHeaders="0" zoomScaleSheetLayoutView="85" workbookViewId="0">
      <selection activeCell="P54" sqref="P54:P55"/>
    </sheetView>
  </sheetViews>
  <sheetFormatPr defaultColWidth="7.5703125" defaultRowHeight="6.75" customHeight="1" x14ac:dyDescent="0.2"/>
  <cols>
    <col min="1" max="1" width="5.7109375" style="7" customWidth="1"/>
    <col min="2" max="6" width="5.28515625" style="4" customWidth="1"/>
    <col min="7" max="11" width="3.7109375" style="4" hidden="1" customWidth="1"/>
    <col min="12" max="12" width="5.7109375" style="3" customWidth="1"/>
    <col min="13" max="14" width="4.28515625" style="7" customWidth="1"/>
    <col min="15" max="15" width="5.7109375" style="3" customWidth="1"/>
    <col min="16" max="20" width="5.28515625" style="7" customWidth="1"/>
    <col min="21" max="25" width="3.7109375" style="7" hidden="1" customWidth="1"/>
    <col min="26" max="26" width="5.7109375" style="7" customWidth="1"/>
    <col min="27" max="28" width="4.28515625" style="7" customWidth="1"/>
    <col min="29" max="29" width="5.7109375" style="7" customWidth="1"/>
    <col min="30" max="34" width="5.28515625" style="7" customWidth="1"/>
    <col min="35" max="39" width="3.7109375" style="7" hidden="1" customWidth="1"/>
    <col min="40" max="40" width="5.7109375" style="7" customWidth="1"/>
    <col min="41" max="42" width="2.85546875" style="7" customWidth="1"/>
    <col min="43" max="43" width="5.7109375" style="7" customWidth="1"/>
    <col min="44" max="48" width="5.28515625" style="7" customWidth="1"/>
    <col min="49" max="53" width="0" style="7" hidden="1" customWidth="1"/>
    <col min="54" max="54" width="5.7109375" style="7" customWidth="1"/>
    <col min="55" max="56" width="2.85546875" style="7" customWidth="1"/>
    <col min="57" max="57" width="5.7109375" style="7" customWidth="1"/>
    <col min="58" max="62" width="5.28515625" style="7" customWidth="1"/>
    <col min="63" max="63" width="5.7109375" style="7" customWidth="1"/>
    <col min="64" max="64" width="7.5703125" style="7"/>
    <col min="65" max="72" width="0" style="7" hidden="1" customWidth="1"/>
    <col min="73" max="16384" width="7.5703125" style="7"/>
  </cols>
  <sheetData>
    <row r="1" spans="1:63" s="6" customFormat="1" ht="15" customHeight="1" x14ac:dyDescent="0.25">
      <c r="A1" s="253" t="str">
        <f>'Start List'!A1</f>
        <v>22. BOHEMIA CUP - CROSSBOW FIELD</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row>
    <row r="2" spans="1:63" s="21" customFormat="1" ht="15" customHeight="1" x14ac:dyDescent="0.25">
      <c r="A2" s="253" t="str">
        <f>'Start List'!A2</f>
        <v>Nový Stadion, TJ Jiskra, Otrokovice</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row>
    <row r="3" spans="1:63" s="21" customFormat="1" ht="15" customHeight="1" x14ac:dyDescent="0.25">
      <c r="A3" s="253" t="str">
        <f>'Start List'!A3</f>
        <v>14.-16. August 2020</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row>
    <row r="4" spans="1:63" s="21" customFormat="1" ht="15" customHeight="1" x14ac:dyDescent="0.25">
      <c r="A4" s="253" t="str">
        <f>"Match Play - "&amp;SUBSTITUTE(A5,"  ","")</f>
        <v>Match Play - Senior Women</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row>
    <row r="5" spans="1:63" s="21" customFormat="1" ht="15" hidden="1" customHeight="1" x14ac:dyDescent="0.25">
      <c r="A5" s="253" t="str">
        <f>VLOOKUP(Data!$AJ$7,Data!$AJ$2:$AK$7,2,FALSE)</f>
        <v>Senior Women</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row>
    <row r="6" spans="1:63" s="6" customFormat="1" ht="6.75" customHeight="1" thickBo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8"/>
      <c r="AI6" s="29"/>
    </row>
    <row r="7" spans="1:63" s="1" customFormat="1" ht="6.75" customHeight="1" x14ac:dyDescent="0.2">
      <c r="A7" s="254">
        <v>1</v>
      </c>
      <c r="B7" s="255" t="str">
        <f ca="1">IF(A7=" "," ",IFERROR(VLOOKUP(LARGE(INDIRECT(VLOOKUP($A$5,'Start List'!$J$9:$Q$14,5,FALSE)),A7),'Start List'!$B$15:$V$139,3,FALSE),"bye to the next round"))</f>
        <v>Nedělníková Jaroslava</v>
      </c>
      <c r="C7" s="256"/>
      <c r="D7" s="256"/>
      <c r="E7" s="256"/>
      <c r="F7" s="256"/>
      <c r="G7" s="256"/>
      <c r="H7" s="256"/>
      <c r="I7" s="256"/>
      <c r="J7" s="256"/>
      <c r="K7" s="257"/>
      <c r="L7" s="261" t="str">
        <f ca="1">IFERROR(VLOOKUP(LARGE(INDIRECT(VLOOKUP($A$5,'Start List'!$J$9:$Q$14,5,FALSE)),'Senior Women'!A7),'Start List'!$B$15:$V$139,7,FALSE)," ")</f>
        <v xml:space="preserve"> </v>
      </c>
      <c r="M7" s="2"/>
      <c r="N7" s="5"/>
      <c r="O7" s="11"/>
    </row>
    <row r="8" spans="1:63" ht="6.75" customHeight="1" thickBot="1" x14ac:dyDescent="0.25">
      <c r="A8" s="254"/>
      <c r="B8" s="258"/>
      <c r="C8" s="259"/>
      <c r="D8" s="259"/>
      <c r="E8" s="259"/>
      <c r="F8" s="259"/>
      <c r="G8" s="259"/>
      <c r="H8" s="259"/>
      <c r="I8" s="259"/>
      <c r="J8" s="259"/>
      <c r="K8" s="260"/>
      <c r="L8" s="262"/>
      <c r="M8" s="14"/>
    </row>
    <row r="9" spans="1:63" ht="6.75" customHeight="1" thickBot="1" x14ac:dyDescent="0.25">
      <c r="A9" s="263" t="str">
        <f>VLOOKUP(VLOOKUP($A$5,'Start List'!$J$9:$Q$14,8,FALSE)&amp;A7,Data!$D$2:$H$97,2,FALSE)</f>
        <v/>
      </c>
      <c r="B9" s="274"/>
      <c r="C9" s="271"/>
      <c r="D9" s="271"/>
      <c r="E9" s="271"/>
      <c r="F9" s="271"/>
      <c r="G9" s="268">
        <f>IF(B9&gt;B11,2,IF(AND(B11=B9,B9&gt;0),1,0))</f>
        <v>0</v>
      </c>
      <c r="H9" s="268">
        <f>IF(C9&gt;C11,2,IF(AND(C11=C9,C9&gt;0),1,0))</f>
        <v>0</v>
      </c>
      <c r="I9" s="268">
        <f>IF(D9&gt;D11,2,IF(AND(D11=D9,D9&gt;0),1,0))</f>
        <v>0</v>
      </c>
      <c r="J9" s="268">
        <f>IF(E9&gt;E11,2,IF(AND(E11=E9,E9&gt;0),1,0))</f>
        <v>0</v>
      </c>
      <c r="K9" s="268">
        <f>IF(F9&gt;F11,2,IF(AND(F11=F9,F9&gt;0),1,0))</f>
        <v>0</v>
      </c>
      <c r="L9" s="272">
        <f>SUM(G9:K10)</f>
        <v>0</v>
      </c>
      <c r="M9" s="9"/>
    </row>
    <row r="10" spans="1:63" ht="6.75" customHeight="1" x14ac:dyDescent="0.2">
      <c r="A10" s="263"/>
      <c r="B10" s="264"/>
      <c r="C10" s="266"/>
      <c r="D10" s="266"/>
      <c r="E10" s="266"/>
      <c r="F10" s="266"/>
      <c r="G10" s="269"/>
      <c r="H10" s="269"/>
      <c r="I10" s="269"/>
      <c r="J10" s="269"/>
      <c r="K10" s="269"/>
      <c r="L10" s="273"/>
      <c r="M10" s="15"/>
      <c r="O10" s="254">
        <f ca="1">IF(B13="bye to the next round",A7,IF(AND(L9&gt;L11,L9&gt;4),A7,IF(AND(L11&gt;L9,L11&gt;4),A13,IF(AND(L9=5,L11=5),MIN(A7,A13)," "))))</f>
        <v>1</v>
      </c>
      <c r="P10" s="255" t="str">
        <f ca="1">IF(O10=" "," ",IFERROR(VLOOKUP(LARGE(INDIRECT(VLOOKUP($A$5,'Start List'!$J$9:$Q$14,5,FALSE)),O10),'Start List'!$B$15:$V$139,3,FALSE),"bye to the next round"))</f>
        <v>Nedělníková Jaroslava</v>
      </c>
      <c r="Q10" s="256"/>
      <c r="R10" s="256"/>
      <c r="S10" s="256"/>
      <c r="T10" s="256"/>
      <c r="U10" s="256"/>
      <c r="V10" s="256"/>
      <c r="W10" s="256"/>
      <c r="X10" s="256"/>
      <c r="Y10" s="257"/>
      <c r="Z10" s="261" t="str">
        <f ca="1">IFERROR(VLOOKUP(LARGE(INDIRECT(VLOOKUP($A$5,'Start List'!$J$9:$Q$14,5,FALSE)),'Senior Women'!O10),'Start List'!$B$15:$V$139,7,FALSE)," ")</f>
        <v xml:space="preserve"> </v>
      </c>
      <c r="AA10" s="16"/>
    </row>
    <row r="11" spans="1:63" ht="6.75" customHeight="1" thickBot="1" x14ac:dyDescent="0.25">
      <c r="A11" s="263" t="str">
        <f>VLOOKUP(VLOOKUP($A$5,'Start List'!$J$9:$Q$14,8,FALSE)&amp;A13,Data!$D$2:$H$97,2,FALSE)</f>
        <v/>
      </c>
      <c r="B11" s="264"/>
      <c r="C11" s="266"/>
      <c r="D11" s="266"/>
      <c r="E11" s="266"/>
      <c r="F11" s="266"/>
      <c r="G11" s="268">
        <f>IF(B9&lt;B11,2,IF(AND(B11=B9,B11&gt;0),1,0))</f>
        <v>0</v>
      </c>
      <c r="H11" s="268">
        <f>IF(C9&lt;C11,2,IF(AND(C11=C9,C11&gt;0),1,0))</f>
        <v>0</v>
      </c>
      <c r="I11" s="268">
        <f>IF(D9&lt;D11,2,IF(AND(D11=D9,D11&gt;0),1,0))</f>
        <v>0</v>
      </c>
      <c r="J11" s="268">
        <f>IF(E9&lt;E11,2,IF(AND(E11=E9,E11&gt;0),1,0))</f>
        <v>0</v>
      </c>
      <c r="K11" s="268">
        <f>IF(F9&lt;F11,2,IF(AND(F11=F9,F11&gt;0),1,0))</f>
        <v>0</v>
      </c>
      <c r="L11" s="272">
        <f>SUM(G11:K12)</f>
        <v>0</v>
      </c>
      <c r="M11" s="15"/>
      <c r="N11" s="10"/>
      <c r="O11" s="254"/>
      <c r="P11" s="258"/>
      <c r="Q11" s="259"/>
      <c r="R11" s="259"/>
      <c r="S11" s="259"/>
      <c r="T11" s="259"/>
      <c r="U11" s="259"/>
      <c r="V11" s="259"/>
      <c r="W11" s="259"/>
      <c r="X11" s="259"/>
      <c r="Y11" s="260"/>
      <c r="Z11" s="262"/>
      <c r="AA11" s="12"/>
    </row>
    <row r="12" spans="1:63" ht="6.75" customHeight="1" thickBot="1" x14ac:dyDescent="0.25">
      <c r="A12" s="263"/>
      <c r="B12" s="265"/>
      <c r="C12" s="267"/>
      <c r="D12" s="267"/>
      <c r="E12" s="267"/>
      <c r="F12" s="267"/>
      <c r="G12" s="269"/>
      <c r="H12" s="269"/>
      <c r="I12" s="269"/>
      <c r="J12" s="269"/>
      <c r="K12" s="269"/>
      <c r="L12" s="273"/>
      <c r="M12" s="15"/>
      <c r="O12" s="7"/>
      <c r="AA12" s="9"/>
    </row>
    <row r="13" spans="1:63" ht="6.75" customHeight="1" x14ac:dyDescent="0.2">
      <c r="A13" s="254">
        <v>16</v>
      </c>
      <c r="B13" s="255" t="str">
        <f ca="1">IF(A13=" "," ",IFERROR(VLOOKUP(LARGE(INDIRECT(VLOOKUP($A$5,'Start List'!$J$9:$Q$14,5,FALSE)),A13),'Start List'!$B$15:$V$139,3,FALSE),"bye to the next round"))</f>
        <v>bye to the next round</v>
      </c>
      <c r="C13" s="256"/>
      <c r="D13" s="256"/>
      <c r="E13" s="256"/>
      <c r="F13" s="256"/>
      <c r="G13" s="256"/>
      <c r="H13" s="256"/>
      <c r="I13" s="256"/>
      <c r="J13" s="256"/>
      <c r="K13" s="257"/>
      <c r="L13" s="261" t="str">
        <f ca="1">IFERROR(VLOOKUP(LARGE(INDIRECT(VLOOKUP($A$5,'Start List'!$J$9:$Q$14,5,FALSE)),'Senior Women'!A13),'Start List'!$B$15:$V$139,7,FALSE)," ")</f>
        <v xml:space="preserve"> </v>
      </c>
      <c r="M13" s="8"/>
      <c r="O13" s="7"/>
      <c r="AA13" s="9"/>
    </row>
    <row r="14" spans="1:63" ht="6.75" customHeight="1" thickBot="1" x14ac:dyDescent="0.25">
      <c r="A14" s="254"/>
      <c r="B14" s="258"/>
      <c r="C14" s="259"/>
      <c r="D14" s="259"/>
      <c r="E14" s="259"/>
      <c r="F14" s="259"/>
      <c r="G14" s="259"/>
      <c r="H14" s="259"/>
      <c r="I14" s="259"/>
      <c r="J14" s="259"/>
      <c r="K14" s="260"/>
      <c r="L14" s="262"/>
      <c r="M14" s="13"/>
      <c r="O14" s="263" t="str">
        <f>VLOOKUP(VLOOKUP($A$5,'Start List'!$J$9:$Q$14,8,FALSE)&amp;A7,Data!$D$2:$H$97,3,FALSE)</f>
        <v/>
      </c>
      <c r="P14" s="264"/>
      <c r="Q14" s="266"/>
      <c r="R14" s="266"/>
      <c r="S14" s="266"/>
      <c r="T14" s="266"/>
      <c r="U14" s="269">
        <f>IF(P14&gt;P16,2,IF(AND(P16=P14,P14&gt;0),1,0))</f>
        <v>0</v>
      </c>
      <c r="V14" s="269">
        <f>IF(Q14&gt;Q16,2,IF(AND(Q16=Q14,Q14&gt;0),1,0))</f>
        <v>0</v>
      </c>
      <c r="W14" s="269">
        <f>IF(R14&gt;R16,2,IF(AND(R16=R14,R14&gt;0),1,0))</f>
        <v>0</v>
      </c>
      <c r="X14" s="269">
        <f>IF(S14&gt;S16,2,IF(AND(S16=S14,S14&gt;0),1,0))</f>
        <v>0</v>
      </c>
      <c r="Y14" s="269">
        <f>IF(T14&gt;T16,2,IF(AND(T16=T14,T14&gt;0),1,0))</f>
        <v>0</v>
      </c>
      <c r="Z14" s="277">
        <f>SUM(U14:Y15)</f>
        <v>0</v>
      </c>
      <c r="AA14" s="9"/>
    </row>
    <row r="15" spans="1:63" ht="6.75" customHeight="1" x14ac:dyDescent="0.2">
      <c r="A15" s="30"/>
      <c r="O15" s="263"/>
      <c r="P15" s="264"/>
      <c r="Q15" s="266"/>
      <c r="R15" s="266"/>
      <c r="S15" s="266"/>
      <c r="T15" s="266"/>
      <c r="U15" s="269"/>
      <c r="V15" s="269"/>
      <c r="W15" s="269"/>
      <c r="X15" s="269"/>
      <c r="Y15" s="269"/>
      <c r="Z15" s="277"/>
      <c r="AA15" s="9"/>
      <c r="AC15" s="254">
        <f ca="1">IF(P20="bye to the next round",O10,IF(AND(Z14&gt;Z16,Z14&gt;4),O10,IF(AND(Z16&gt;Z14,Z16&gt;4),O20,IF(AND(Z14=5,Z16=5),MIN(O10,O20)," "))))</f>
        <v>1</v>
      </c>
      <c r="AD15" s="255" t="str">
        <f ca="1">IF(AC15=" "," ",IFERROR(VLOOKUP(LARGE(INDIRECT(VLOOKUP($A$5,'Start List'!$J$9:$Q$14,5,FALSE)),AC15),'Start List'!$B$15:$V$139,3,FALSE),"bye to the next round"))</f>
        <v>Nedělníková Jaroslava</v>
      </c>
      <c r="AE15" s="256"/>
      <c r="AF15" s="256"/>
      <c r="AG15" s="256"/>
      <c r="AH15" s="256"/>
      <c r="AI15" s="256"/>
      <c r="AJ15" s="256"/>
      <c r="AK15" s="256"/>
      <c r="AL15" s="256"/>
      <c r="AM15" s="257"/>
      <c r="AN15" s="275" t="str">
        <f ca="1">IFERROR(VLOOKUP(LARGE(INDIRECT(VLOOKUP($A$5,'Start List'!$J$9:$Q$14,5,FALSE)),'Senior Women'!AC15),'Start List'!$B$15:$V$139,7,FALSE)," ")</f>
        <v xml:space="preserve"> </v>
      </c>
    </row>
    <row r="16" spans="1:63" ht="6.75" customHeight="1" thickBot="1" x14ac:dyDescent="0.25">
      <c r="A16" s="29"/>
      <c r="B16" s="29"/>
      <c r="C16" s="29"/>
      <c r="D16" s="29"/>
      <c r="E16" s="29"/>
      <c r="F16" s="29"/>
      <c r="G16" s="29"/>
      <c r="H16" s="29"/>
      <c r="I16" s="29"/>
      <c r="J16" s="29"/>
      <c r="K16" s="29"/>
      <c r="L16" s="29"/>
      <c r="M16" s="29"/>
      <c r="N16" s="29"/>
      <c r="O16" s="263" t="str">
        <f>VLOOKUP(VLOOKUP($A$5,'Start List'!$J$9:$Q$14,8,FALSE)&amp;A23,Data!$D$2:$H$97,3,FALSE)</f>
        <v/>
      </c>
      <c r="P16" s="264"/>
      <c r="Q16" s="266"/>
      <c r="R16" s="266"/>
      <c r="S16" s="266"/>
      <c r="T16" s="266"/>
      <c r="U16" s="269">
        <f>IF(P14&lt;P16,2,IF(AND(P16=P14,P16&gt;0),1,0))</f>
        <v>0</v>
      </c>
      <c r="V16" s="269">
        <f>IF(Q14&lt;Q16,2,IF(AND(Q16=Q14,Q16&gt;0),1,0))</f>
        <v>0</v>
      </c>
      <c r="W16" s="269">
        <f>IF(R14&lt;R16,2,IF(AND(R16=R14,R16&gt;0),1,0))</f>
        <v>0</v>
      </c>
      <c r="X16" s="269">
        <f>IF(S14&lt;S16,2,IF(AND(S16=S14,S16&gt;0),1,0))</f>
        <v>0</v>
      </c>
      <c r="Y16" s="269">
        <f>IF(T14&lt;T16,2,IF(AND(T16=T14,T16&gt;0),1,0))</f>
        <v>0</v>
      </c>
      <c r="Z16" s="277">
        <f>SUM(U16:Y17)</f>
        <v>0</v>
      </c>
      <c r="AA16" s="17"/>
      <c r="AB16" s="19"/>
      <c r="AC16" s="254"/>
      <c r="AD16" s="258"/>
      <c r="AE16" s="259"/>
      <c r="AF16" s="259"/>
      <c r="AG16" s="259"/>
      <c r="AH16" s="259"/>
      <c r="AI16" s="259"/>
      <c r="AJ16" s="259"/>
      <c r="AK16" s="259"/>
      <c r="AL16" s="259"/>
      <c r="AM16" s="260"/>
      <c r="AN16" s="276"/>
      <c r="AO16" s="14"/>
    </row>
    <row r="17" spans="1:63" ht="6.75" customHeight="1" x14ac:dyDescent="0.2">
      <c r="A17" s="254">
        <v>8</v>
      </c>
      <c r="B17" s="255" t="str">
        <f ca="1">IF(A17=" "," ",IFERROR(VLOOKUP(LARGE(INDIRECT(VLOOKUP($A$5,'Start List'!$J$9:$Q$14,5,FALSE)),A17),'Start List'!$B$15:$V$139,3,FALSE),"bye to the next round"))</f>
        <v>bye to the next round</v>
      </c>
      <c r="C17" s="256"/>
      <c r="D17" s="256"/>
      <c r="E17" s="256"/>
      <c r="F17" s="256"/>
      <c r="G17" s="256"/>
      <c r="H17" s="256"/>
      <c r="I17" s="256"/>
      <c r="J17" s="256"/>
      <c r="K17" s="257"/>
      <c r="L17" s="261" t="str">
        <f ca="1">IFERROR(VLOOKUP(LARGE(INDIRECT(VLOOKUP($A$5,'Start List'!$J$9:$Q$14,5,FALSE)),'Senior Women'!A17),'Start List'!$B$15:$V$139,7,FALSE)," ")</f>
        <v xml:space="preserve"> </v>
      </c>
      <c r="M17" s="2"/>
      <c r="N17" s="5"/>
      <c r="O17" s="263"/>
      <c r="P17" s="264"/>
      <c r="Q17" s="266"/>
      <c r="R17" s="266"/>
      <c r="S17" s="266"/>
      <c r="T17" s="266"/>
      <c r="U17" s="269"/>
      <c r="V17" s="269"/>
      <c r="W17" s="269"/>
      <c r="X17" s="269"/>
      <c r="Y17" s="269"/>
      <c r="Z17" s="277"/>
      <c r="AA17" s="18"/>
      <c r="AB17" s="1"/>
      <c r="AO17" s="9"/>
      <c r="AQ17" s="278" t="str">
        <f>VLOOKUP("GMM",Translation!$A$1:$E$57,Data!$AP$2,FALSE)</f>
        <v>Gold Medal Match</v>
      </c>
      <c r="AR17" s="278"/>
      <c r="AS17" s="278"/>
      <c r="AT17" s="278"/>
      <c r="AU17" s="278"/>
      <c r="AV17" s="278"/>
      <c r="AW17" s="278"/>
      <c r="AX17" s="278"/>
      <c r="AY17" s="278"/>
      <c r="AZ17" s="278"/>
      <c r="BA17" s="278"/>
      <c r="BB17" s="278"/>
    </row>
    <row r="18" spans="1:63" ht="6.75" customHeight="1" thickBot="1" x14ac:dyDescent="0.25">
      <c r="A18" s="270"/>
      <c r="B18" s="258"/>
      <c r="C18" s="259"/>
      <c r="D18" s="259"/>
      <c r="E18" s="259"/>
      <c r="F18" s="259"/>
      <c r="G18" s="259"/>
      <c r="H18" s="259"/>
      <c r="I18" s="259"/>
      <c r="J18" s="259"/>
      <c r="K18" s="260"/>
      <c r="L18" s="262"/>
      <c r="M18" s="14"/>
      <c r="AA18" s="9"/>
      <c r="AO18" s="9"/>
      <c r="AQ18" s="278"/>
      <c r="AR18" s="278"/>
      <c r="AS18" s="278"/>
      <c r="AT18" s="278"/>
      <c r="AU18" s="278"/>
      <c r="AV18" s="278"/>
      <c r="AW18" s="278"/>
      <c r="AX18" s="278"/>
      <c r="AY18" s="278"/>
      <c r="AZ18" s="278"/>
      <c r="BA18" s="278"/>
      <c r="BB18" s="278"/>
    </row>
    <row r="19" spans="1:63" ht="6.75" customHeight="1" thickBot="1" x14ac:dyDescent="0.25">
      <c r="A19" s="263" t="str">
        <f>VLOOKUP(VLOOKUP($A$5,'Start List'!$J$9:$Q$14,8,FALSE)&amp;A17,Data!$D$2:$H$97,2,FALSE)</f>
        <v/>
      </c>
      <c r="B19" s="274"/>
      <c r="C19" s="271"/>
      <c r="D19" s="271"/>
      <c r="E19" s="271"/>
      <c r="F19" s="271"/>
      <c r="G19" s="268">
        <f>IF(B19&gt;B21,2,IF(AND(B21=B19,B19&gt;0),1,0))</f>
        <v>0</v>
      </c>
      <c r="H19" s="268">
        <f>IF(C19&gt;C21,2,IF(AND(C21=C19,C19&gt;0),1,0))</f>
        <v>0</v>
      </c>
      <c r="I19" s="268">
        <f>IF(D19&gt;D21,2,IF(AND(D21=D19,D19&gt;0),1,0))</f>
        <v>0</v>
      </c>
      <c r="J19" s="268">
        <f>IF(E19&gt;E21,2,IF(AND(E21=E19,E19&gt;0),1,0))</f>
        <v>0</v>
      </c>
      <c r="K19" s="268">
        <f>IF(F19&gt;F21,2,IF(AND(F21=F19,F19&gt;0),1,0))</f>
        <v>0</v>
      </c>
      <c r="L19" s="272">
        <f>SUM(G19:K20)</f>
        <v>0</v>
      </c>
      <c r="M19" s="9"/>
      <c r="AA19" s="9"/>
      <c r="AO19" s="9"/>
    </row>
    <row r="20" spans="1:63" ht="6.75" customHeight="1" x14ac:dyDescent="0.2">
      <c r="A20" s="263"/>
      <c r="B20" s="264"/>
      <c r="C20" s="266"/>
      <c r="D20" s="266"/>
      <c r="E20" s="266"/>
      <c r="F20" s="266"/>
      <c r="G20" s="269"/>
      <c r="H20" s="269"/>
      <c r="I20" s="269"/>
      <c r="J20" s="269"/>
      <c r="K20" s="269"/>
      <c r="L20" s="273"/>
      <c r="M20" s="15"/>
      <c r="O20" s="254">
        <f ca="1">IF(B23="bye to the next round",A17,IF(AND(L19&gt;L21,L19&gt;4),A17,IF(AND(L21&gt;L19,L21&gt;4),A23,IF(AND(L19=5,L21=5),MIN(A17,A23)," "))))</f>
        <v>8</v>
      </c>
      <c r="P20" s="255" t="str">
        <f ca="1">IF(O20=" "," ",IFERROR(VLOOKUP(LARGE(INDIRECT(VLOOKUP($A$5,'Start List'!$J$9:$Q$14,5,FALSE)),O20),'Start List'!$B$15:$V$139,3,FALSE),"bye to the next round"))</f>
        <v>bye to the next round</v>
      </c>
      <c r="Q20" s="256"/>
      <c r="R20" s="256"/>
      <c r="S20" s="256"/>
      <c r="T20" s="256"/>
      <c r="U20" s="256"/>
      <c r="V20" s="256"/>
      <c r="W20" s="256"/>
      <c r="X20" s="256"/>
      <c r="Y20" s="257"/>
      <c r="Z20" s="261" t="str">
        <f ca="1">IFERROR(VLOOKUP(LARGE(INDIRECT(VLOOKUP($A$5,'Start List'!$J$9:$Q$14,5,FALSE)),'Senior Women'!O20),'Start List'!$B$15:$V$139,7,FALSE)," ")</f>
        <v xml:space="preserve"> </v>
      </c>
      <c r="AA20" s="8"/>
      <c r="AO20" s="9"/>
      <c r="AQ20" s="254" t="str">
        <f>IF(AND(AN24&gt;AN26,AN24&gt;4),AC15,IF(AND(AN26&gt;AN24,AN26&gt;4),AC35,IF(AND(AN24=5,AN26=5),MIN(AC15,AC35)," ")))</f>
        <v xml:space="preserve"> </v>
      </c>
      <c r="AR20" s="255" t="str">
        <f ca="1">IF(AQ20=" "," ",IFERROR(VLOOKUP(LARGE(INDIRECT(VLOOKUP($A$5,'Start List'!$J$9:$Q$14,5,FALSE)),AQ20),'Start List'!$B$15:$V$139,3,FALSE),"bye to the next round"))</f>
        <v xml:space="preserve"> </v>
      </c>
      <c r="AS20" s="256"/>
      <c r="AT20" s="256"/>
      <c r="AU20" s="256"/>
      <c r="AV20" s="256"/>
      <c r="AW20" s="256"/>
      <c r="AX20" s="256"/>
      <c r="AY20" s="256"/>
      <c r="AZ20" s="256"/>
      <c r="BA20" s="257"/>
      <c r="BB20" s="261" t="str">
        <f ca="1">IFERROR(VLOOKUP(LARGE(INDIRECT(VLOOKUP($A$5,'Start List'!$J$9:$Q$14,5,FALSE)),'Senior Women'!AQ20),'Start List'!$B$15:$V$139,7,FALSE)," ")</f>
        <v xml:space="preserve"> </v>
      </c>
    </row>
    <row r="21" spans="1:63" ht="6.75" customHeight="1" thickBot="1" x14ac:dyDescent="0.25">
      <c r="A21" s="263" t="str">
        <f>VLOOKUP(VLOOKUP($A$5,'Start List'!$J$9:$Q$14,8,FALSE)&amp;A23,Data!$D$2:$H$97,2,FALSE)</f>
        <v/>
      </c>
      <c r="B21" s="264"/>
      <c r="C21" s="266"/>
      <c r="D21" s="266"/>
      <c r="E21" s="266"/>
      <c r="F21" s="266"/>
      <c r="G21" s="268">
        <f>IF(B19&lt;B21,2,IF(AND(B21=B19,B21&gt;0),1,0))</f>
        <v>0</v>
      </c>
      <c r="H21" s="268">
        <f>IF(C19&lt;C21,2,IF(AND(C21=C19,C21&gt;0),1,0))</f>
        <v>0</v>
      </c>
      <c r="I21" s="268">
        <f>IF(D19&lt;D21,2,IF(AND(D21=D19,D21&gt;0),1,0))</f>
        <v>0</v>
      </c>
      <c r="J21" s="268">
        <f>IF(E19&lt;E21,2,IF(AND(E21=E19,E21&gt;0),1,0))</f>
        <v>0</v>
      </c>
      <c r="K21" s="268">
        <f>IF(F19&lt;F21,2,IF(AND(F21=F19,F21&gt;0),1,0))</f>
        <v>0</v>
      </c>
      <c r="L21" s="272">
        <f>SUM(G21:K22)</f>
        <v>0</v>
      </c>
      <c r="M21" s="15"/>
      <c r="N21" s="10"/>
      <c r="O21" s="254"/>
      <c r="P21" s="258"/>
      <c r="Q21" s="259"/>
      <c r="R21" s="259"/>
      <c r="S21" s="259"/>
      <c r="T21" s="259"/>
      <c r="U21" s="259"/>
      <c r="V21" s="259"/>
      <c r="W21" s="259"/>
      <c r="X21" s="259"/>
      <c r="Y21" s="260"/>
      <c r="Z21" s="262"/>
      <c r="AA21" s="13"/>
      <c r="AO21" s="9"/>
      <c r="AQ21" s="254"/>
      <c r="AR21" s="258"/>
      <c r="AS21" s="259"/>
      <c r="AT21" s="259"/>
      <c r="AU21" s="259"/>
      <c r="AV21" s="259"/>
      <c r="AW21" s="259"/>
      <c r="AX21" s="259"/>
      <c r="AY21" s="259"/>
      <c r="AZ21" s="259"/>
      <c r="BA21" s="260"/>
      <c r="BB21" s="262"/>
      <c r="BC21" s="14"/>
    </row>
    <row r="22" spans="1:63" ht="6.75" customHeight="1" thickBot="1" x14ac:dyDescent="0.25">
      <c r="A22" s="263"/>
      <c r="B22" s="265"/>
      <c r="C22" s="267"/>
      <c r="D22" s="267"/>
      <c r="E22" s="267"/>
      <c r="F22" s="267"/>
      <c r="G22" s="269"/>
      <c r="H22" s="269"/>
      <c r="I22" s="269"/>
      <c r="J22" s="269"/>
      <c r="K22" s="269"/>
      <c r="L22" s="273"/>
      <c r="M22" s="15"/>
      <c r="O22" s="7"/>
      <c r="AO22" s="9"/>
      <c r="BC22" s="9"/>
    </row>
    <row r="23" spans="1:63" ht="6.75" customHeight="1" x14ac:dyDescent="0.2">
      <c r="A23" s="254">
        <v>9</v>
      </c>
      <c r="B23" s="255" t="str">
        <f ca="1">IF(A23=" "," ",IFERROR(VLOOKUP(LARGE(INDIRECT(VLOOKUP($A$5,'Start List'!$J$9:$Q$14,5,FALSE)),A23),'Start List'!$B$15:$V$139,3,FALSE),"bye to the next round"))</f>
        <v>bye to the next round</v>
      </c>
      <c r="C23" s="256"/>
      <c r="D23" s="256"/>
      <c r="E23" s="256"/>
      <c r="F23" s="256"/>
      <c r="G23" s="256"/>
      <c r="H23" s="256"/>
      <c r="I23" s="256"/>
      <c r="J23" s="256"/>
      <c r="K23" s="257"/>
      <c r="L23" s="261" t="str">
        <f ca="1">IFERROR(VLOOKUP(LARGE(INDIRECT(VLOOKUP($A$5,'Start List'!$J$9:$Q$14,5,FALSE)),'Senior Women'!A23),'Start List'!$B$15:$V$139,7,FALSE)," ")</f>
        <v xml:space="preserve"> </v>
      </c>
      <c r="M23" s="8"/>
      <c r="O23" s="7"/>
      <c r="AO23" s="9"/>
      <c r="BC23" s="9"/>
    </row>
    <row r="24" spans="1:63" ht="6.75" customHeight="1" thickBot="1" x14ac:dyDescent="0.25">
      <c r="A24" s="254"/>
      <c r="B24" s="258"/>
      <c r="C24" s="259"/>
      <c r="D24" s="259"/>
      <c r="E24" s="259"/>
      <c r="F24" s="259"/>
      <c r="G24" s="259"/>
      <c r="H24" s="259"/>
      <c r="I24" s="259"/>
      <c r="J24" s="259"/>
      <c r="K24" s="260"/>
      <c r="L24" s="262"/>
      <c r="M24" s="13"/>
      <c r="AC24" s="263">
        <f>VLOOKUP(VLOOKUP($A$5,'Start List'!$J$9:$Q$14,8,FALSE)&amp;A7,Data!$D$2:$H$97,4,FALSE)</f>
        <v>32</v>
      </c>
      <c r="AD24" s="266"/>
      <c r="AE24" s="266"/>
      <c r="AF24" s="266"/>
      <c r="AG24" s="266"/>
      <c r="AH24" s="266"/>
      <c r="AI24" s="269">
        <f>IF(AD24&gt;AD26,2,IF(AND(AD26=AD24,AD24&gt;0),1,0))</f>
        <v>0</v>
      </c>
      <c r="AJ24" s="269">
        <f>IF(AE24&gt;AE26,2,IF(AND(AE26=AE24,AE24&gt;0),1,0))</f>
        <v>0</v>
      </c>
      <c r="AK24" s="269">
        <f>IF(AF24&gt;AF26,2,IF(AND(AF26=AF24,AF24&gt;0),1,0))</f>
        <v>0</v>
      </c>
      <c r="AL24" s="269">
        <f>IF(AG24&gt;AG26,2,IF(AND(AG26=AG24,AG24&gt;0),1,0))</f>
        <v>0</v>
      </c>
      <c r="AM24" s="269">
        <f>IF(AH24&gt;AH26,2,IF(AND(AH26=AH24,AH24&gt;0),1,0))</f>
        <v>0</v>
      </c>
      <c r="AN24" s="277">
        <f>SUM(AI24:AM25)</f>
        <v>0</v>
      </c>
      <c r="AO24" s="9"/>
      <c r="AQ24" s="263">
        <f>VLOOKUP(VLOOKUP($A$5,'Start List'!$J$9:$Q$14,8,FALSE)&amp;A7,Data!$D$2:$H$97,5,FALSE)</f>
        <v>16</v>
      </c>
      <c r="AR24" s="266"/>
      <c r="AS24" s="266"/>
      <c r="AT24" s="266"/>
      <c r="AU24" s="266"/>
      <c r="AV24" s="266"/>
      <c r="AW24" s="269">
        <f>IF(AR24&gt;AR26,2,IF(AND(AR26=AR24,AR24&gt;0),1,0))</f>
        <v>0</v>
      </c>
      <c r="AX24" s="269">
        <f>IF(AS24&gt;AS26,2,IF(AND(AS26=AS24,AS24&gt;0),1,0))</f>
        <v>0</v>
      </c>
      <c r="AY24" s="269">
        <f>IF(AT24&gt;AT26,2,IF(AND(AT26=AT24,AT24&gt;0),1,0))</f>
        <v>0</v>
      </c>
      <c r="AZ24" s="269">
        <f>IF(AU24&gt;AU26,2,IF(AND(AU26=AU24,AU24&gt;0),1,0))</f>
        <v>0</v>
      </c>
      <c r="BA24" s="269">
        <f>IF(AV24&gt;AV26,2,IF(AND(AV26=AV24,AV24&gt;0),1,0))</f>
        <v>0</v>
      </c>
      <c r="BB24" s="277">
        <f>SUM(AW24:BA25)</f>
        <v>0</v>
      </c>
      <c r="BC24" s="9"/>
    </row>
    <row r="25" spans="1:63" ht="6.75" customHeight="1" x14ac:dyDescent="0.2">
      <c r="A25" s="30"/>
      <c r="AC25" s="263"/>
      <c r="AD25" s="266"/>
      <c r="AE25" s="266"/>
      <c r="AF25" s="266"/>
      <c r="AG25" s="266"/>
      <c r="AH25" s="266"/>
      <c r="AI25" s="269"/>
      <c r="AJ25" s="269"/>
      <c r="AK25" s="269"/>
      <c r="AL25" s="269"/>
      <c r="AM25" s="269"/>
      <c r="AN25" s="277"/>
      <c r="AO25" s="9"/>
      <c r="AQ25" s="263"/>
      <c r="AR25" s="266"/>
      <c r="AS25" s="266"/>
      <c r="AT25" s="266"/>
      <c r="AU25" s="266"/>
      <c r="AV25" s="266"/>
      <c r="AW25" s="269"/>
      <c r="AX25" s="269"/>
      <c r="AY25" s="269"/>
      <c r="AZ25" s="269"/>
      <c r="BA25" s="269"/>
      <c r="BB25" s="277"/>
      <c r="BC25" s="9"/>
      <c r="BE25" s="254" t="str">
        <f>IF(AND(BB24&gt;BB26,BB24&gt;4),AQ20,IF(AND(BB26&gt;BB24,BB26&gt;4),AQ30,IF(AND(BB24=5,BB26=5),MIN(AQ20,AQ30)," ")))</f>
        <v xml:space="preserve"> </v>
      </c>
      <c r="BF25" s="279" t="str">
        <f ca="1">IF(BE25=" "," ",IFERROR(VLOOKUP(LARGE(INDIRECT(VLOOKUP($A$5,'Start List'!$J$9:$Q$14,5,FALSE)),BE25),'Start List'!$B$15:$V$139,3,FALSE),"bye to the next round"))</f>
        <v xml:space="preserve"> </v>
      </c>
      <c r="BG25" s="256"/>
      <c r="BH25" s="256"/>
      <c r="BI25" s="256"/>
      <c r="BJ25" s="257"/>
      <c r="BK25" s="261" t="str">
        <f ca="1">IFERROR(VLOOKUP(LARGE(INDIRECT(VLOOKUP($A$5,'Start List'!$J$9:$Q$14,5,FALSE)),BE25),'Start List'!$B$15:$V$139,7,FALSE)," ")</f>
        <v xml:space="preserve"> </v>
      </c>
    </row>
    <row r="26" spans="1:63" ht="6.75" customHeight="1" thickBo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63">
        <f>VLOOKUP(VLOOKUP($A$5,'Start List'!$J$9:$Q$14,8,FALSE)&amp;A43,Data!$D$2:$H$97,4,FALSE)</f>
        <v>33</v>
      </c>
      <c r="AD26" s="266"/>
      <c r="AE26" s="266"/>
      <c r="AF26" s="266"/>
      <c r="AG26" s="266"/>
      <c r="AH26" s="266"/>
      <c r="AI26" s="269">
        <f>IF(AD24&lt;AD26,2,IF(AND(AD26=AD24,AD26&gt;0),1,0))</f>
        <v>0</v>
      </c>
      <c r="AJ26" s="269">
        <f>IF(AE24&lt;AE26,2,IF(AND(AE26=AE24,AE26&gt;0),1,0))</f>
        <v>0</v>
      </c>
      <c r="AK26" s="269">
        <f>IF(AF24&lt;AF26,2,IF(AND(AF26=AF24,AF26&gt;0),1,0))</f>
        <v>0</v>
      </c>
      <c r="AL26" s="269">
        <f>IF(AG24&lt;AG26,2,IF(AND(AG26=AG24,AG26&gt;0),1,0))</f>
        <v>0</v>
      </c>
      <c r="AM26" s="269">
        <f>IF(AH24&lt;AH26,2,IF(AND(AH26=AH24,AH26&gt;0),1,0))</f>
        <v>0</v>
      </c>
      <c r="AN26" s="277">
        <f>SUM(AI26:AM27)</f>
        <v>0</v>
      </c>
      <c r="AO26" s="9"/>
      <c r="AP26" s="24"/>
      <c r="AQ26" s="263">
        <f>VLOOKUP(VLOOKUP($A$5,'Start List'!$J$9:$Q$14,8,FALSE)&amp;A47,Data!$D$2:$H$97,5,FALSE)</f>
        <v>17</v>
      </c>
      <c r="AR26" s="266"/>
      <c r="AS26" s="266"/>
      <c r="AT26" s="266"/>
      <c r="AU26" s="266"/>
      <c r="AV26" s="266"/>
      <c r="AW26" s="269">
        <f>IF(AR24&lt;AR26,2,IF(AND(AR26=AR24,AR26&gt;0),1,0))</f>
        <v>0</v>
      </c>
      <c r="AX26" s="269">
        <f>IF(AS24&lt;AS26,2,IF(AND(AS26=AS24,AS26&gt;0),1,0))</f>
        <v>0</v>
      </c>
      <c r="AY26" s="269">
        <f>IF(AT24&lt;AT26,2,IF(AND(AT26=AT24,AT26&gt;0),1,0))</f>
        <v>0</v>
      </c>
      <c r="AZ26" s="269">
        <f>IF(AU24&lt;AU26,2,IF(AND(AU26=AU24,AU26&gt;0),1,0))</f>
        <v>0</v>
      </c>
      <c r="BA26" s="269">
        <f>IF(AV24&lt;AV26,2,IF(AND(AV26=AV24,AV26&gt;0),1,0))</f>
        <v>0</v>
      </c>
      <c r="BB26" s="277">
        <f>SUM(AW26:BA27)</f>
        <v>0</v>
      </c>
      <c r="BC26" s="9"/>
      <c r="BD26" s="25"/>
      <c r="BE26" s="254"/>
      <c r="BF26" s="258"/>
      <c r="BG26" s="259"/>
      <c r="BH26" s="259"/>
      <c r="BI26" s="259"/>
      <c r="BJ26" s="260"/>
      <c r="BK26" s="262"/>
    </row>
    <row r="27" spans="1:63" ht="6.75" customHeight="1" x14ac:dyDescent="0.2">
      <c r="A27" s="254">
        <v>4</v>
      </c>
      <c r="B27" s="255" t="str">
        <f ca="1">IF(A27=" "," ",IFERROR(VLOOKUP(LARGE(INDIRECT(VLOOKUP($A$5,'Start List'!$J$9:$Q$14,5,FALSE)),A27),'Start List'!$B$15:$V$139,3,FALSE),"bye to the next round"))</f>
        <v>bye to the next round</v>
      </c>
      <c r="C27" s="256"/>
      <c r="D27" s="256"/>
      <c r="E27" s="256"/>
      <c r="F27" s="256"/>
      <c r="G27" s="256"/>
      <c r="H27" s="256"/>
      <c r="I27" s="256"/>
      <c r="J27" s="256"/>
      <c r="K27" s="257"/>
      <c r="L27" s="261" t="str">
        <f ca="1">IFERROR(VLOOKUP(LARGE(INDIRECT(VLOOKUP($A$5,'Start List'!$J$9:$Q$14,5,FALSE)),'Senior Women'!A27),'Start List'!$B$15:$V$139,7,FALSE)," ")</f>
        <v xml:space="preserve"> </v>
      </c>
      <c r="M27" s="2"/>
      <c r="N27" s="5"/>
      <c r="O27" s="11"/>
      <c r="P27" s="1"/>
      <c r="Q27" s="1"/>
      <c r="R27" s="1"/>
      <c r="S27" s="1"/>
      <c r="T27" s="1"/>
      <c r="U27" s="1"/>
      <c r="V27" s="1"/>
      <c r="W27" s="1"/>
      <c r="X27" s="1"/>
      <c r="Y27" s="1"/>
      <c r="Z27" s="1"/>
      <c r="AA27" s="1"/>
      <c r="AB27" s="1"/>
      <c r="AC27" s="263"/>
      <c r="AD27" s="266"/>
      <c r="AE27" s="266"/>
      <c r="AF27" s="266"/>
      <c r="AG27" s="266"/>
      <c r="AH27" s="266"/>
      <c r="AI27" s="269"/>
      <c r="AJ27" s="269"/>
      <c r="AK27" s="269"/>
      <c r="AL27" s="269"/>
      <c r="AM27" s="269"/>
      <c r="AN27" s="277"/>
      <c r="AO27" s="9"/>
      <c r="AQ27" s="263"/>
      <c r="AR27" s="266"/>
      <c r="AS27" s="266"/>
      <c r="AT27" s="266"/>
      <c r="AU27" s="266"/>
      <c r="AV27" s="266"/>
      <c r="AW27" s="269"/>
      <c r="AX27" s="269"/>
      <c r="AY27" s="269"/>
      <c r="AZ27" s="269"/>
      <c r="BA27" s="269"/>
      <c r="BB27" s="277"/>
      <c r="BC27" s="9"/>
    </row>
    <row r="28" spans="1:63" ht="6.75" customHeight="1" thickBot="1" x14ac:dyDescent="0.25">
      <c r="A28" s="270"/>
      <c r="B28" s="258"/>
      <c r="C28" s="259"/>
      <c r="D28" s="259"/>
      <c r="E28" s="259"/>
      <c r="F28" s="259"/>
      <c r="G28" s="259"/>
      <c r="H28" s="259"/>
      <c r="I28" s="259"/>
      <c r="J28" s="259"/>
      <c r="K28" s="260"/>
      <c r="L28" s="262"/>
      <c r="M28" s="14"/>
      <c r="AO28" s="9"/>
      <c r="BC28" s="9"/>
    </row>
    <row r="29" spans="1:63" ht="6.75" customHeight="1" thickBot="1" x14ac:dyDescent="0.25">
      <c r="A29" s="263" t="str">
        <f>VLOOKUP(VLOOKUP($A$5,'Start List'!$J$9:$Q$14,8,FALSE)&amp;A27,Data!$D$2:$H$97,2,FALSE)</f>
        <v/>
      </c>
      <c r="B29" s="274"/>
      <c r="C29" s="271"/>
      <c r="D29" s="271"/>
      <c r="E29" s="271"/>
      <c r="F29" s="271"/>
      <c r="G29" s="268">
        <f>IF(B29&gt;B31,2,IF(AND(B31=B29,B29&gt;0),1,0))</f>
        <v>0</v>
      </c>
      <c r="H29" s="268">
        <f>IF(C29&gt;C31,2,IF(AND(C31=C29,C29&gt;0),1,0))</f>
        <v>0</v>
      </c>
      <c r="I29" s="268">
        <f>IF(D29&gt;D31,2,IF(AND(D31=D29,D29&gt;0),1,0))</f>
        <v>0</v>
      </c>
      <c r="J29" s="268">
        <f>IF(E29&gt;E31,2,IF(AND(E31=E29,E29&gt;0),1,0))</f>
        <v>0</v>
      </c>
      <c r="K29" s="268">
        <f>IF(F29&gt;F31,2,IF(AND(F31=F29,F29&gt;0),1,0))</f>
        <v>0</v>
      </c>
      <c r="L29" s="272">
        <f>SUM(G29:K30)</f>
        <v>0</v>
      </c>
      <c r="M29" s="9"/>
      <c r="AO29" s="9"/>
      <c r="AQ29" s="22"/>
      <c r="BC29" s="9"/>
    </row>
    <row r="30" spans="1:63" ht="6.75" customHeight="1" x14ac:dyDescent="0.2">
      <c r="A30" s="263"/>
      <c r="B30" s="264"/>
      <c r="C30" s="266"/>
      <c r="D30" s="266"/>
      <c r="E30" s="266"/>
      <c r="F30" s="266"/>
      <c r="G30" s="269"/>
      <c r="H30" s="269"/>
      <c r="I30" s="269"/>
      <c r="J30" s="269"/>
      <c r="K30" s="269"/>
      <c r="L30" s="273"/>
      <c r="M30" s="15"/>
      <c r="O30" s="254">
        <f ca="1">IF(B33="bye to the next round",A27,IF(AND(L29&gt;L31,L29&gt;4),A27,IF(AND(L31&gt;L29,L31&gt;4),A33,IF(AND(L29=5,L31=5),MIN(A27,A33)," "))))</f>
        <v>4</v>
      </c>
      <c r="P30" s="255" t="str">
        <f ca="1">IF(O30=" "," ",IFERROR(VLOOKUP(LARGE(INDIRECT(VLOOKUP($A$5,'Start List'!$J$9:$Q$14,5,FALSE)),O30),'Start List'!$B$15:$V$139,3,FALSE),"bye to the next round"))</f>
        <v>bye to the next round</v>
      </c>
      <c r="Q30" s="256"/>
      <c r="R30" s="256"/>
      <c r="S30" s="256"/>
      <c r="T30" s="256"/>
      <c r="U30" s="256"/>
      <c r="V30" s="256"/>
      <c r="W30" s="256"/>
      <c r="X30" s="256"/>
      <c r="Y30" s="257"/>
      <c r="Z30" s="261" t="str">
        <f ca="1">IFERROR(VLOOKUP(LARGE(INDIRECT(VLOOKUP($A$5,'Start List'!$J$9:$Q$14,5,FALSE)),'Senior Women'!O30),'Start List'!$B$15:$V$139,7,FALSE)," ")</f>
        <v xml:space="preserve"> </v>
      </c>
      <c r="AA30" s="16"/>
      <c r="AO30" s="9"/>
      <c r="AQ30" s="254" t="str">
        <f>IF(AND(AN64&gt;AN66,AN64&gt;4),AC55,IF(AND(AN66&gt;AN64,AN66&gt;4),AC75,IF(AND(AN64=5,AN66=5),MIN(AC55,AC75)," ")))</f>
        <v xml:space="preserve"> </v>
      </c>
      <c r="AR30" s="255" t="str">
        <f ca="1">IF(AQ30=" "," ",IFERROR(VLOOKUP(LARGE(INDIRECT(VLOOKUP($A$5,'Start List'!$J$9:$Q$14,5,FALSE)),AQ30),'Start List'!$B$15:$V$139,3,FALSE),"bye to the next round"))</f>
        <v xml:space="preserve"> </v>
      </c>
      <c r="AS30" s="256"/>
      <c r="AT30" s="256"/>
      <c r="AU30" s="256"/>
      <c r="AV30" s="256"/>
      <c r="AW30" s="256"/>
      <c r="AX30" s="256"/>
      <c r="AY30" s="256"/>
      <c r="AZ30" s="256"/>
      <c r="BA30" s="257"/>
      <c r="BB30" s="261" t="str">
        <f ca="1">IFERROR(VLOOKUP(LARGE(INDIRECT(VLOOKUP($A$5,'Start List'!$J$9:$Q$14,5,FALSE)),'Senior Women'!AQ30),'Start List'!$B$15:$V$139,7,FALSE)," ")</f>
        <v xml:space="preserve"> </v>
      </c>
      <c r="BC30" s="20"/>
    </row>
    <row r="31" spans="1:63" ht="6.75" customHeight="1" thickBot="1" x14ac:dyDescent="0.25">
      <c r="A31" s="263" t="str">
        <f>VLOOKUP(VLOOKUP($A$5,'Start List'!$J$9:$Q$14,8,FALSE)&amp;A33,Data!$D$2:$H$97,2,FALSE)</f>
        <v/>
      </c>
      <c r="B31" s="264"/>
      <c r="C31" s="266"/>
      <c r="D31" s="266"/>
      <c r="E31" s="266"/>
      <c r="F31" s="266"/>
      <c r="G31" s="268">
        <f>IF(B29&lt;B31,2,IF(AND(B31=B29,B31&gt;0),1,0))</f>
        <v>0</v>
      </c>
      <c r="H31" s="268">
        <f>IF(C29&lt;C31,2,IF(AND(C31=C29,C31&gt;0),1,0))</f>
        <v>0</v>
      </c>
      <c r="I31" s="268">
        <f>IF(D29&lt;D31,2,IF(AND(D31=D29,D31&gt;0),1,0))</f>
        <v>0</v>
      </c>
      <c r="J31" s="268">
        <f>IF(E29&lt;E31,2,IF(AND(E31=E29,E31&gt;0),1,0))</f>
        <v>0</v>
      </c>
      <c r="K31" s="268">
        <f>IF(F29&lt;F31,2,IF(AND(F31=F29,F31&gt;0),1,0))</f>
        <v>0</v>
      </c>
      <c r="L31" s="272">
        <f>SUM(G31:K32)</f>
        <v>0</v>
      </c>
      <c r="M31" s="15"/>
      <c r="N31" s="10"/>
      <c r="O31" s="254"/>
      <c r="P31" s="258"/>
      <c r="Q31" s="259"/>
      <c r="R31" s="259"/>
      <c r="S31" s="259"/>
      <c r="T31" s="259"/>
      <c r="U31" s="259"/>
      <c r="V31" s="259"/>
      <c r="W31" s="259"/>
      <c r="X31" s="259"/>
      <c r="Y31" s="260"/>
      <c r="Z31" s="262"/>
      <c r="AA31" s="12"/>
      <c r="AO31" s="9"/>
      <c r="AQ31" s="254"/>
      <c r="AR31" s="258"/>
      <c r="AS31" s="259"/>
      <c r="AT31" s="259"/>
      <c r="AU31" s="259"/>
      <c r="AV31" s="259"/>
      <c r="AW31" s="259"/>
      <c r="AX31" s="259"/>
      <c r="AY31" s="259"/>
      <c r="AZ31" s="259"/>
      <c r="BA31" s="260"/>
      <c r="BB31" s="262"/>
      <c r="BC31" s="23"/>
    </row>
    <row r="32" spans="1:63" ht="6.75" customHeight="1" thickBot="1" x14ac:dyDescent="0.25">
      <c r="A32" s="263"/>
      <c r="B32" s="265"/>
      <c r="C32" s="267"/>
      <c r="D32" s="267"/>
      <c r="E32" s="267"/>
      <c r="F32" s="267"/>
      <c r="G32" s="269"/>
      <c r="H32" s="269"/>
      <c r="I32" s="269"/>
      <c r="J32" s="269"/>
      <c r="K32" s="269"/>
      <c r="L32" s="273"/>
      <c r="M32" s="15"/>
      <c r="O32" s="7"/>
      <c r="AA32" s="9"/>
      <c r="AO32" s="9"/>
      <c r="BC32" s="23"/>
    </row>
    <row r="33" spans="1:63" ht="6.75" customHeight="1" x14ac:dyDescent="0.2">
      <c r="A33" s="254">
        <v>13</v>
      </c>
      <c r="B33" s="255" t="str">
        <f ca="1">IF(A33=" "," ",IFERROR(VLOOKUP(LARGE(INDIRECT(VLOOKUP($A$5,'Start List'!$J$9:$Q$14,5,FALSE)),A33),'Start List'!$B$15:$V$139,3,FALSE),"bye to the next round"))</f>
        <v>bye to the next round</v>
      </c>
      <c r="C33" s="256"/>
      <c r="D33" s="256"/>
      <c r="E33" s="256"/>
      <c r="F33" s="256"/>
      <c r="G33" s="256"/>
      <c r="H33" s="256"/>
      <c r="I33" s="256"/>
      <c r="J33" s="256"/>
      <c r="K33" s="257"/>
      <c r="L33" s="261" t="str">
        <f ca="1">IFERROR(VLOOKUP(LARGE(INDIRECT(VLOOKUP($A$5,'Start List'!$J$9:$Q$14,5,FALSE)),'Senior Women'!A33),'Start List'!$B$15:$V$139,7,FALSE)," ")</f>
        <v xml:space="preserve"> </v>
      </c>
      <c r="M33" s="8"/>
      <c r="O33" s="7"/>
      <c r="AA33" s="9"/>
      <c r="AO33" s="9"/>
      <c r="BC33" s="23"/>
    </row>
    <row r="34" spans="1:63" ht="6.75" customHeight="1" thickBot="1" x14ac:dyDescent="0.25">
      <c r="A34" s="254"/>
      <c r="B34" s="258"/>
      <c r="C34" s="259"/>
      <c r="D34" s="259"/>
      <c r="E34" s="259"/>
      <c r="F34" s="259"/>
      <c r="G34" s="259"/>
      <c r="H34" s="259"/>
      <c r="I34" s="259"/>
      <c r="J34" s="259"/>
      <c r="K34" s="260"/>
      <c r="L34" s="262"/>
      <c r="M34" s="13"/>
      <c r="O34" s="263" t="str">
        <f>VLOOKUP(VLOOKUP($A$5,'Start List'!$J$9:$Q$14,8,FALSE)&amp;A27,Data!$D$2:$H$97,3,FALSE)</f>
        <v/>
      </c>
      <c r="P34" s="266"/>
      <c r="Q34" s="266"/>
      <c r="R34" s="266"/>
      <c r="S34" s="266"/>
      <c r="T34" s="266"/>
      <c r="U34" s="269">
        <f>IF(P34&gt;P36,2,IF(AND(P36=P34,P34&gt;0),1,0))</f>
        <v>0</v>
      </c>
      <c r="V34" s="269">
        <f>IF(Q34&gt;Q36,2,IF(AND(Q36=Q34,Q34&gt;0),1,0))</f>
        <v>0</v>
      </c>
      <c r="W34" s="269">
        <f>IF(R34&gt;R36,2,IF(AND(R36=R34,R34&gt;0),1,0))</f>
        <v>0</v>
      </c>
      <c r="X34" s="269">
        <f>IF(S34&gt;S36,2,IF(AND(S36=S34,S34&gt;0),1,0))</f>
        <v>0</v>
      </c>
      <c r="Y34" s="269">
        <f>IF(T34&gt;T36,2,IF(AND(T36=T34,T34&gt;0),1,0))</f>
        <v>0</v>
      </c>
      <c r="Z34" s="277">
        <f>SUM(U34:Y35)</f>
        <v>0</v>
      </c>
      <c r="AA34" s="9"/>
      <c r="AO34" s="9"/>
      <c r="BC34" s="23"/>
    </row>
    <row r="35" spans="1:63" ht="6.75" customHeight="1" x14ac:dyDescent="0.2">
      <c r="A35" s="30"/>
      <c r="O35" s="263"/>
      <c r="P35" s="266"/>
      <c r="Q35" s="266"/>
      <c r="R35" s="266"/>
      <c r="S35" s="266"/>
      <c r="T35" s="266"/>
      <c r="U35" s="269"/>
      <c r="V35" s="269"/>
      <c r="W35" s="269"/>
      <c r="X35" s="269"/>
      <c r="Y35" s="269"/>
      <c r="Z35" s="277"/>
      <c r="AA35" s="9"/>
      <c r="AC35" s="254">
        <f ca="1">IF(P40="bye to the next round",O30,IF(AND(Z34&gt;Z36,Z34&gt;4),O30,IF(AND(Z36&gt;Z34,Z36&gt;4),O40,IF(AND(Z34=5,Z36=5),MIN(O30,O40)," "))))</f>
        <v>4</v>
      </c>
      <c r="AD35" s="255" t="str">
        <f ca="1">IF(AC35=" "," ",IFERROR(VLOOKUP(LARGE(INDIRECT(VLOOKUP($A$5,'Start List'!$J$9:$Q$14,5,FALSE)),AC35),'Start List'!$B$15:$V$139,3,FALSE),"bye to the next round"))</f>
        <v>bye to the next round</v>
      </c>
      <c r="AE35" s="256"/>
      <c r="AF35" s="256"/>
      <c r="AG35" s="256"/>
      <c r="AH35" s="256"/>
      <c r="AI35" s="256"/>
      <c r="AJ35" s="256"/>
      <c r="AK35" s="256"/>
      <c r="AL35" s="256"/>
      <c r="AM35" s="257"/>
      <c r="AN35" s="275" t="str">
        <f ca="1">IFERROR(VLOOKUP(LARGE(INDIRECT(VLOOKUP($A$5,'Start List'!$J$9:$Q$14,5,FALSE)),'Senior Women'!AC35),'Start List'!$B$15:$V$139,7,FALSE)," ")</f>
        <v xml:space="preserve"> </v>
      </c>
      <c r="AO35" s="8"/>
      <c r="BC35" s="23"/>
    </row>
    <row r="36" spans="1:63" ht="6.75" customHeight="1" thickBot="1" x14ac:dyDescent="0.25">
      <c r="A36" s="29"/>
      <c r="B36" s="29"/>
      <c r="C36" s="29"/>
      <c r="D36" s="29"/>
      <c r="E36" s="29"/>
      <c r="F36" s="29"/>
      <c r="G36" s="29"/>
      <c r="H36" s="29"/>
      <c r="I36" s="29"/>
      <c r="J36" s="29"/>
      <c r="K36" s="29"/>
      <c r="L36" s="29"/>
      <c r="M36" s="29"/>
      <c r="N36" s="29"/>
      <c r="O36" s="263" t="str">
        <f>VLOOKUP(VLOOKUP($A$5,'Start List'!$J$9:$Q$14,8,FALSE)&amp;A43,Data!$D$2:$H$97,3,FALSE)</f>
        <v/>
      </c>
      <c r="P36" s="266"/>
      <c r="Q36" s="266"/>
      <c r="R36" s="266"/>
      <c r="S36" s="266"/>
      <c r="T36" s="266"/>
      <c r="U36" s="269">
        <f>IF(P34&lt;P36,2,IF(AND(P36=P34,P36&gt;0),1,0))</f>
        <v>0</v>
      </c>
      <c r="V36" s="269">
        <f>IF(Q34&lt;Q36,2,IF(AND(Q36=Q34,Q36&gt;0),1,0))</f>
        <v>0</v>
      </c>
      <c r="W36" s="269">
        <f>IF(R34&lt;R36,2,IF(AND(R36=R34,R36&gt;0),1,0))</f>
        <v>0</v>
      </c>
      <c r="X36" s="269">
        <f>IF(S34&lt;S36,2,IF(AND(S36=S34,S36&gt;0),1,0))</f>
        <v>0</v>
      </c>
      <c r="Y36" s="269">
        <f>IF(T34&lt;T36,2,IF(AND(T36=T34,T36&gt;0),1,0))</f>
        <v>0</v>
      </c>
      <c r="Z36" s="277">
        <f>SUM(U36:Y37)</f>
        <v>0</v>
      </c>
      <c r="AA36" s="17"/>
      <c r="AB36" s="19"/>
      <c r="AC36" s="254"/>
      <c r="AD36" s="258"/>
      <c r="AE36" s="259"/>
      <c r="AF36" s="259"/>
      <c r="AG36" s="259"/>
      <c r="AH36" s="259"/>
      <c r="AI36" s="259"/>
      <c r="AJ36" s="259"/>
      <c r="AK36" s="259"/>
      <c r="AL36" s="259"/>
      <c r="AM36" s="260"/>
      <c r="AN36" s="276"/>
      <c r="AO36" s="13"/>
      <c r="BC36" s="23"/>
    </row>
    <row r="37" spans="1:63" ht="6.75" customHeight="1" x14ac:dyDescent="0.2">
      <c r="A37" s="254">
        <v>5</v>
      </c>
      <c r="B37" s="255" t="str">
        <f ca="1">IF(A37=" "," ",IFERROR(VLOOKUP(LARGE(INDIRECT(VLOOKUP($A$5,'Start List'!$J$9:$Q$14,5,FALSE)),A37),'Start List'!$B$15:$V$139,3,FALSE),"bye to the next round"))</f>
        <v>bye to the next round</v>
      </c>
      <c r="C37" s="256"/>
      <c r="D37" s="256"/>
      <c r="E37" s="256"/>
      <c r="F37" s="256"/>
      <c r="G37" s="256"/>
      <c r="H37" s="256"/>
      <c r="I37" s="256"/>
      <c r="J37" s="256"/>
      <c r="K37" s="257"/>
      <c r="L37" s="261" t="str">
        <f ca="1">IFERROR(VLOOKUP(LARGE(INDIRECT(VLOOKUP($A$5,'Start List'!$J$9:$Q$14,5,FALSE)),'Senior Women'!A37),'Start List'!$B$15:$V$139,7,FALSE)," ")</f>
        <v xml:space="preserve"> </v>
      </c>
      <c r="M37" s="2"/>
      <c r="N37" s="5"/>
      <c r="O37" s="263"/>
      <c r="P37" s="266"/>
      <c r="Q37" s="266"/>
      <c r="R37" s="266"/>
      <c r="S37" s="266"/>
      <c r="T37" s="266"/>
      <c r="U37" s="269"/>
      <c r="V37" s="269"/>
      <c r="W37" s="269"/>
      <c r="X37" s="269"/>
      <c r="Y37" s="269"/>
      <c r="Z37" s="277"/>
      <c r="AA37" s="18"/>
      <c r="AB37" s="1"/>
      <c r="BC37" s="23"/>
    </row>
    <row r="38" spans="1:63" ht="6.75" customHeight="1" thickBot="1" x14ac:dyDescent="0.25">
      <c r="A38" s="270"/>
      <c r="B38" s="258"/>
      <c r="C38" s="259"/>
      <c r="D38" s="259"/>
      <c r="E38" s="259"/>
      <c r="F38" s="259"/>
      <c r="G38" s="259"/>
      <c r="H38" s="259"/>
      <c r="I38" s="259"/>
      <c r="J38" s="259"/>
      <c r="K38" s="260"/>
      <c r="L38" s="262"/>
      <c r="M38" s="14"/>
      <c r="AA38" s="9"/>
      <c r="BC38" s="23"/>
    </row>
    <row r="39" spans="1:63" ht="6.75" customHeight="1" thickBot="1" x14ac:dyDescent="0.25">
      <c r="A39" s="263" t="str">
        <f>VLOOKUP(VLOOKUP($A$5,'Start List'!$J$9:$Q$14,8,FALSE)&amp;A37,Data!$D$2:$H$97,2,FALSE)</f>
        <v/>
      </c>
      <c r="B39" s="274"/>
      <c r="C39" s="271"/>
      <c r="D39" s="271"/>
      <c r="E39" s="271"/>
      <c r="F39" s="271"/>
      <c r="G39" s="268">
        <f>IF(B39&gt;B41,2,IF(AND(B41=B39,B39&gt;0),1,0))</f>
        <v>0</v>
      </c>
      <c r="H39" s="268">
        <f>IF(C39&gt;C41,2,IF(AND(C41=C39,C39&gt;0),1,0))</f>
        <v>0</v>
      </c>
      <c r="I39" s="268">
        <f>IF(D39&gt;D41,2,IF(AND(D41=D39,D39&gt;0),1,0))</f>
        <v>0</v>
      </c>
      <c r="J39" s="268">
        <f>IF(E39&gt;E41,2,IF(AND(E41=E39,E39&gt;0),1,0))</f>
        <v>0</v>
      </c>
      <c r="K39" s="268">
        <f>IF(F39&gt;F41,2,IF(AND(F41=F39,F39&gt;0),1,0))</f>
        <v>0</v>
      </c>
      <c r="L39" s="272">
        <f>SUM(G39:K40)</f>
        <v>0</v>
      </c>
      <c r="M39" s="9"/>
      <c r="AA39" s="9"/>
      <c r="BC39" s="23"/>
    </row>
    <row r="40" spans="1:63" ht="6.75" customHeight="1" x14ac:dyDescent="0.2">
      <c r="A40" s="263"/>
      <c r="B40" s="264"/>
      <c r="C40" s="266"/>
      <c r="D40" s="266"/>
      <c r="E40" s="266"/>
      <c r="F40" s="266"/>
      <c r="G40" s="269"/>
      <c r="H40" s="269"/>
      <c r="I40" s="269"/>
      <c r="J40" s="269"/>
      <c r="K40" s="269"/>
      <c r="L40" s="273"/>
      <c r="M40" s="15"/>
      <c r="O40" s="254">
        <f ca="1">IF(B43="bye to the next round",A37,IF(AND(L39&gt;L41,L39&gt;4),A37,IF(AND(L41&gt;L39,L41&gt;4),A43,IF(AND(L39=5,L41=5),MIN(A37,A43)," "))))</f>
        <v>5</v>
      </c>
      <c r="P40" s="255" t="str">
        <f ca="1">IF(O40=" "," ",IFERROR(VLOOKUP(LARGE(INDIRECT(VLOOKUP($A$5,'Start List'!$J$9:$Q$14,5,FALSE)),O40),'Start List'!$B$15:$V$139,3,FALSE),"bye to the next round"))</f>
        <v>bye to the next round</v>
      </c>
      <c r="Q40" s="256"/>
      <c r="R40" s="256"/>
      <c r="S40" s="256"/>
      <c r="T40" s="256"/>
      <c r="U40" s="256"/>
      <c r="V40" s="256"/>
      <c r="W40" s="256"/>
      <c r="X40" s="256"/>
      <c r="Y40" s="257"/>
      <c r="Z40" s="261" t="str">
        <f ca="1">IFERROR(VLOOKUP(LARGE(INDIRECT(VLOOKUP($A$5,'Start List'!$J$9:$Q$14,5,FALSE)),'Senior Women'!O40),'Start List'!$B$15:$V$139,7,FALSE)," ")</f>
        <v xml:space="preserve"> </v>
      </c>
      <c r="AA40" s="8"/>
      <c r="BC40" s="23"/>
      <c r="BE40" s="278" t="str">
        <f>VLOOKUP("Stand",Translation!$A$1:$E$57,Data!$AP$2,FALSE)</f>
        <v>Final Standings</v>
      </c>
      <c r="BF40" s="278"/>
      <c r="BG40" s="278"/>
      <c r="BH40" s="278"/>
      <c r="BI40" s="278"/>
      <c r="BJ40" s="278"/>
      <c r="BK40" s="278"/>
    </row>
    <row r="41" spans="1:63" ht="6.75" customHeight="1" thickBot="1" x14ac:dyDescent="0.25">
      <c r="A41" s="263" t="str">
        <f>VLOOKUP(VLOOKUP($A$5,'Start List'!$J$9:$Q$14,8,FALSE)&amp;A43,Data!$D$2:$H$97,2,FALSE)</f>
        <v/>
      </c>
      <c r="B41" s="264"/>
      <c r="C41" s="266"/>
      <c r="D41" s="266"/>
      <c r="E41" s="266"/>
      <c r="F41" s="266"/>
      <c r="G41" s="268">
        <f>IF(B39&lt;B41,2,IF(AND(B41=B39,B41&gt;0),1,0))</f>
        <v>0</v>
      </c>
      <c r="H41" s="268">
        <f>IF(C39&lt;C41,2,IF(AND(C41=C39,C41&gt;0),1,0))</f>
        <v>0</v>
      </c>
      <c r="I41" s="268">
        <f>IF(D39&lt;D41,2,IF(AND(D41=D39,D41&gt;0),1,0))</f>
        <v>0</v>
      </c>
      <c r="J41" s="268">
        <f>IF(E39&lt;E41,2,IF(AND(E41=E39,E41&gt;0),1,0))</f>
        <v>0</v>
      </c>
      <c r="K41" s="268">
        <f>IF(F39&lt;F41,2,IF(AND(F41=F39,F41&gt;0),1,0))</f>
        <v>0</v>
      </c>
      <c r="L41" s="272">
        <f>SUM(G41:K42)</f>
        <v>0</v>
      </c>
      <c r="M41" s="15"/>
      <c r="N41" s="10"/>
      <c r="O41" s="254"/>
      <c r="P41" s="258"/>
      <c r="Q41" s="259"/>
      <c r="R41" s="259"/>
      <c r="S41" s="259"/>
      <c r="T41" s="259"/>
      <c r="U41" s="259"/>
      <c r="V41" s="259"/>
      <c r="W41" s="259"/>
      <c r="X41" s="259"/>
      <c r="Y41" s="260"/>
      <c r="Z41" s="262"/>
      <c r="AA41" s="13"/>
      <c r="BE41" s="278"/>
      <c r="BF41" s="278"/>
      <c r="BG41" s="278"/>
      <c r="BH41" s="278"/>
      <c r="BI41" s="278"/>
      <c r="BJ41" s="278"/>
      <c r="BK41" s="278"/>
    </row>
    <row r="42" spans="1:63" ht="6.75" customHeight="1" thickBot="1" x14ac:dyDescent="0.25">
      <c r="A42" s="263"/>
      <c r="B42" s="265"/>
      <c r="C42" s="267"/>
      <c r="D42" s="267"/>
      <c r="E42" s="267"/>
      <c r="F42" s="267"/>
      <c r="G42" s="269"/>
      <c r="H42" s="269"/>
      <c r="I42" s="269"/>
      <c r="J42" s="269"/>
      <c r="K42" s="269"/>
      <c r="L42" s="273"/>
      <c r="M42" s="15"/>
      <c r="O42" s="7"/>
      <c r="BE42" s="280">
        <v>1</v>
      </c>
      <c r="BF42" s="282" t="str">
        <f ca="1">BF25</f>
        <v xml:space="preserve"> </v>
      </c>
      <c r="BG42" s="282"/>
      <c r="BH42" s="282"/>
      <c r="BI42" s="282"/>
      <c r="BJ42" s="282"/>
      <c r="BK42" s="284" t="str">
        <f ca="1">BK25</f>
        <v xml:space="preserve"> </v>
      </c>
    </row>
    <row r="43" spans="1:63" ht="6.75" customHeight="1" x14ac:dyDescent="0.2">
      <c r="A43" s="254">
        <v>12</v>
      </c>
      <c r="B43" s="255" t="str">
        <f ca="1">IF(A43=" "," ",IFERROR(VLOOKUP(LARGE(INDIRECT(VLOOKUP($A$5,'Start List'!$J$9:$Q$14,5,FALSE)),A43),'Start List'!$B$15:$V$139,3,FALSE),"bye to the next round"))</f>
        <v>bye to the next round</v>
      </c>
      <c r="C43" s="256"/>
      <c r="D43" s="256"/>
      <c r="E43" s="256"/>
      <c r="F43" s="256"/>
      <c r="G43" s="256"/>
      <c r="H43" s="256"/>
      <c r="I43" s="256"/>
      <c r="J43" s="256"/>
      <c r="K43" s="257"/>
      <c r="L43" s="261" t="str">
        <f ca="1">IFERROR(VLOOKUP(LARGE(INDIRECT(VLOOKUP($A$5,'Start List'!$J$9:$Q$14,5,FALSE)),'Senior Women'!A43),'Start List'!$B$15:$V$139,7,FALSE)," ")</f>
        <v xml:space="preserve"> </v>
      </c>
      <c r="M43" s="8"/>
      <c r="O43" s="7"/>
      <c r="BE43" s="281"/>
      <c r="BF43" s="283"/>
      <c r="BG43" s="283"/>
      <c r="BH43" s="283"/>
      <c r="BI43" s="283"/>
      <c r="BJ43" s="283"/>
      <c r="BK43" s="285"/>
    </row>
    <row r="44" spans="1:63" ht="6.75" customHeight="1" thickBot="1" x14ac:dyDescent="0.25">
      <c r="A44" s="254"/>
      <c r="B44" s="258"/>
      <c r="C44" s="259"/>
      <c r="D44" s="259"/>
      <c r="E44" s="259"/>
      <c r="F44" s="259"/>
      <c r="G44" s="259"/>
      <c r="H44" s="259"/>
      <c r="I44" s="259"/>
      <c r="J44" s="259"/>
      <c r="K44" s="260"/>
      <c r="L44" s="262"/>
      <c r="M44" s="13"/>
      <c r="BE44" s="286">
        <v>2</v>
      </c>
      <c r="BF44" s="283" t="str">
        <f>IF(BE25=" "," ",IF(BE25=AQ20,AR30,AR20))</f>
        <v xml:space="preserve"> </v>
      </c>
      <c r="BG44" s="283"/>
      <c r="BH44" s="283"/>
      <c r="BI44" s="283"/>
      <c r="BJ44" s="283"/>
      <c r="BK44" s="285" t="str">
        <f>IF(BE25=" "," ",IF(BE25=AQ20,BB30,BB20))</f>
        <v xml:space="preserve"> </v>
      </c>
    </row>
    <row r="45" spans="1:63" ht="6.75" customHeight="1" x14ac:dyDescent="0.2">
      <c r="A45" s="30"/>
      <c r="BE45" s="286"/>
      <c r="BF45" s="283"/>
      <c r="BG45" s="283"/>
      <c r="BH45" s="283"/>
      <c r="BI45" s="283"/>
      <c r="BJ45" s="283"/>
      <c r="BK45" s="285"/>
    </row>
    <row r="46" spans="1:63" ht="6.75" customHeight="1" thickBo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BE46" s="287">
        <v>3</v>
      </c>
      <c r="BF46" s="283" t="str">
        <f ca="1">BF65</f>
        <v xml:space="preserve"> </v>
      </c>
      <c r="BG46" s="283"/>
      <c r="BH46" s="283"/>
      <c r="BI46" s="283"/>
      <c r="BJ46" s="283"/>
      <c r="BK46" s="285" t="str">
        <f ca="1">BK65</f>
        <v xml:space="preserve"> </v>
      </c>
    </row>
    <row r="47" spans="1:63" ht="6.75" customHeight="1" x14ac:dyDescent="0.2">
      <c r="A47" s="254">
        <v>2</v>
      </c>
      <c r="B47" s="255" t="str">
        <f ca="1">IF(A47=" "," ",IFERROR(VLOOKUP(LARGE(INDIRECT(VLOOKUP($A$5,'Start List'!$J$9:$Q$14,5,FALSE)),A47),'Start List'!$B$15:$V$139,3,FALSE),"bye to the next round"))</f>
        <v>Dr. Lénárt Ágota</v>
      </c>
      <c r="C47" s="256"/>
      <c r="D47" s="256"/>
      <c r="E47" s="256"/>
      <c r="F47" s="256"/>
      <c r="G47" s="256"/>
      <c r="H47" s="256"/>
      <c r="I47" s="256"/>
      <c r="J47" s="256"/>
      <c r="K47" s="257"/>
      <c r="L47" s="261" t="str">
        <f ca="1">IFERROR(VLOOKUP(LARGE(INDIRECT(VLOOKUP($A$5,'Start List'!$J$9:$Q$14,5,FALSE)),'Senior Women'!A47),'Start List'!$B$15:$V$139,7,FALSE)," ")</f>
        <v xml:space="preserve"> </v>
      </c>
      <c r="M47" s="2"/>
      <c r="N47" s="5"/>
      <c r="O47" s="11"/>
      <c r="P47" s="1"/>
      <c r="Q47" s="1"/>
      <c r="R47" s="1"/>
      <c r="S47" s="1"/>
      <c r="T47" s="1"/>
      <c r="U47" s="1"/>
      <c r="V47" s="1"/>
      <c r="W47" s="1"/>
      <c r="X47" s="1"/>
      <c r="Y47" s="1"/>
      <c r="Z47" s="1"/>
      <c r="AA47" s="1"/>
      <c r="AB47" s="1"/>
      <c r="BE47" s="287"/>
      <c r="BF47" s="283"/>
      <c r="BG47" s="283"/>
      <c r="BH47" s="283"/>
      <c r="BI47" s="283"/>
      <c r="BJ47" s="283"/>
      <c r="BK47" s="285"/>
    </row>
    <row r="48" spans="1:63" ht="6.75" customHeight="1" thickBot="1" x14ac:dyDescent="0.25">
      <c r="A48" s="270"/>
      <c r="B48" s="258"/>
      <c r="C48" s="259"/>
      <c r="D48" s="259"/>
      <c r="E48" s="259"/>
      <c r="F48" s="259"/>
      <c r="G48" s="259"/>
      <c r="H48" s="259"/>
      <c r="I48" s="259"/>
      <c r="J48" s="259"/>
      <c r="K48" s="260"/>
      <c r="L48" s="262"/>
      <c r="M48" s="14"/>
      <c r="BE48" s="288">
        <v>4</v>
      </c>
      <c r="BF48" s="283" t="str">
        <f>IF(BE65=" "," ",IF(BE65=AQ60,AR70,AR60))</f>
        <v xml:space="preserve"> </v>
      </c>
      <c r="BG48" s="283"/>
      <c r="BH48" s="283"/>
      <c r="BI48" s="283"/>
      <c r="BJ48" s="283"/>
      <c r="BK48" s="285" t="str">
        <f>IF(BE65=" "," ",IF(BE65=AQ60,BB70,BB60))</f>
        <v xml:space="preserve"> </v>
      </c>
    </row>
    <row r="49" spans="1:68" ht="6.75" customHeight="1" thickBot="1" x14ac:dyDescent="0.25">
      <c r="A49" s="263" t="str">
        <f>VLOOKUP(VLOOKUP($A$5,'Start List'!$J$9:$Q$14,8,FALSE)&amp;A47,Data!$D$2:$H$97,2,FALSE)</f>
        <v/>
      </c>
      <c r="B49" s="274"/>
      <c r="C49" s="271"/>
      <c r="D49" s="271"/>
      <c r="E49" s="271"/>
      <c r="F49" s="271"/>
      <c r="G49" s="268">
        <f>IF(B49&gt;B51,2,IF(AND(B51=B49,B49&gt;0),1,0))</f>
        <v>0</v>
      </c>
      <c r="H49" s="268">
        <f>IF(C49&gt;C51,2,IF(AND(C51=C49,C49&gt;0),1,0))</f>
        <v>0</v>
      </c>
      <c r="I49" s="268">
        <f>IF(D49&gt;D51,2,IF(AND(D51=D49,D49&gt;0),1,0))</f>
        <v>0</v>
      </c>
      <c r="J49" s="268">
        <f>IF(E49&gt;E51,2,IF(AND(E51=E49,E49&gt;0),1,0))</f>
        <v>0</v>
      </c>
      <c r="K49" s="268">
        <f>IF(F49&gt;F51,2,IF(AND(F51=F49,F49&gt;0),1,0))</f>
        <v>0</v>
      </c>
      <c r="L49" s="272">
        <f>SUM(G49:K50)</f>
        <v>0</v>
      </c>
      <c r="M49" s="9"/>
      <c r="BE49" s="289"/>
      <c r="BF49" s="290"/>
      <c r="BG49" s="290"/>
      <c r="BH49" s="290"/>
      <c r="BI49" s="290"/>
      <c r="BJ49" s="290"/>
      <c r="BK49" s="291"/>
    </row>
    <row r="50" spans="1:68" ht="6.75" customHeight="1" x14ac:dyDescent="0.2">
      <c r="A50" s="263"/>
      <c r="B50" s="264"/>
      <c r="C50" s="266"/>
      <c r="D50" s="266"/>
      <c r="E50" s="266"/>
      <c r="F50" s="266"/>
      <c r="G50" s="269"/>
      <c r="H50" s="269"/>
      <c r="I50" s="269"/>
      <c r="J50" s="269"/>
      <c r="K50" s="269"/>
      <c r="L50" s="273"/>
      <c r="M50" s="15"/>
      <c r="O50" s="254">
        <f ca="1">IF(B53="bye to the next round",A47,IF(AND(L49&gt;L51,L49&gt;4),A47,IF(AND(L51&gt;L49,L51&gt;4),A53,IF(AND(L49=5,L51=5),MIN(A47,A53)," "))))</f>
        <v>2</v>
      </c>
      <c r="P50" s="255" t="str">
        <f ca="1">IF(O50=" "," ",IFERROR(VLOOKUP(LARGE(INDIRECT(VLOOKUP($A$5,'Start List'!$J$9:$Q$14,5,FALSE)),O50),'Start List'!$B$15:$V$139,3,FALSE),"bye to the next round"))</f>
        <v>Dr. Lénárt Ágota</v>
      </c>
      <c r="Q50" s="256"/>
      <c r="R50" s="256"/>
      <c r="S50" s="256"/>
      <c r="T50" s="256"/>
      <c r="U50" s="256"/>
      <c r="V50" s="256"/>
      <c r="W50" s="256"/>
      <c r="X50" s="256"/>
      <c r="Y50" s="257"/>
      <c r="Z50" s="261" t="str">
        <f ca="1">IFERROR(VLOOKUP(LARGE(INDIRECT(VLOOKUP($A$5,'Start List'!$J$9:$Q$14,5,FALSE)),'Senior Women'!O50),'Start List'!$B$15:$V$139,7,FALSE)," ")</f>
        <v xml:space="preserve"> </v>
      </c>
      <c r="AA50" s="16"/>
      <c r="BE50" s="196">
        <f>Data!AW4</f>
        <v>44062</v>
      </c>
      <c r="BF50" s="197"/>
      <c r="BG50" s="197"/>
      <c r="BH50" s="197"/>
      <c r="BI50" s="197"/>
      <c r="BJ50" s="197"/>
      <c r="BK50" s="197"/>
      <c r="BM50" s="7">
        <v>1</v>
      </c>
      <c r="BN50" s="7" t="str">
        <f>L9&amp;":"&amp;L11</f>
        <v>0:0</v>
      </c>
      <c r="BO50" s="7" t="str">
        <f>Z14&amp;":"&amp;Z16</f>
        <v>0:0</v>
      </c>
      <c r="BP50" s="7" t="str">
        <f>AN24&amp;":"&amp;AN26</f>
        <v>0:0</v>
      </c>
    </row>
    <row r="51" spans="1:68" ht="6.75" customHeight="1" thickBot="1" x14ac:dyDescent="0.25">
      <c r="A51" s="263" t="str">
        <f>VLOOKUP(VLOOKUP($A$5,'Start List'!$J$9:$Q$14,8,FALSE)&amp;A53,Data!$D$2:$H$97,2,FALSE)</f>
        <v/>
      </c>
      <c r="B51" s="264"/>
      <c r="C51" s="266"/>
      <c r="D51" s="266"/>
      <c r="E51" s="266"/>
      <c r="F51" s="266"/>
      <c r="G51" s="268">
        <f>IF(B49&lt;B51,2,IF(AND(B51=B49,B51&gt;0),1,0))</f>
        <v>0</v>
      </c>
      <c r="H51" s="268">
        <f>IF(C49&lt;C51,2,IF(AND(C51=C49,C51&gt;0),1,0))</f>
        <v>0</v>
      </c>
      <c r="I51" s="268">
        <f>IF(D49&lt;D51,2,IF(AND(D51=D49,D51&gt;0),1,0))</f>
        <v>0</v>
      </c>
      <c r="J51" s="268">
        <f>IF(E49&lt;E51,2,IF(AND(E51=E49,E51&gt;0),1,0))</f>
        <v>0</v>
      </c>
      <c r="K51" s="268">
        <f>IF(F49&lt;F51,2,IF(AND(F51=F49,F51&gt;0),1,0))</f>
        <v>0</v>
      </c>
      <c r="L51" s="272">
        <f>SUM(G51:K52)</f>
        <v>0</v>
      </c>
      <c r="M51" s="15"/>
      <c r="N51" s="10"/>
      <c r="O51" s="254"/>
      <c r="P51" s="258"/>
      <c r="Q51" s="259"/>
      <c r="R51" s="259"/>
      <c r="S51" s="259"/>
      <c r="T51" s="259"/>
      <c r="U51" s="259"/>
      <c r="V51" s="259"/>
      <c r="W51" s="259"/>
      <c r="X51" s="259"/>
      <c r="Y51" s="260"/>
      <c r="Z51" s="262"/>
      <c r="AA51" s="12"/>
      <c r="BE51" s="199"/>
      <c r="BF51" s="199"/>
      <c r="BG51" s="199"/>
      <c r="BH51" s="199"/>
      <c r="BI51" s="199"/>
      <c r="BJ51" s="199"/>
      <c r="BK51" s="199"/>
      <c r="BM51" s="7">
        <v>2</v>
      </c>
      <c r="BN51" s="7" t="str">
        <f>L49&amp;":"&amp;L51</f>
        <v>0:0</v>
      </c>
      <c r="BO51" s="7" t="str">
        <f>Z54&amp;":"&amp;Z56</f>
        <v>0:0</v>
      </c>
      <c r="BP51" s="7" t="str">
        <f>AN64&amp;":"&amp;AN66</f>
        <v>0:0</v>
      </c>
    </row>
    <row r="52" spans="1:68" ht="6.75" customHeight="1" thickBot="1" x14ac:dyDescent="0.25">
      <c r="A52" s="263"/>
      <c r="B52" s="265"/>
      <c r="C52" s="267"/>
      <c r="D52" s="267"/>
      <c r="E52" s="267"/>
      <c r="F52" s="267"/>
      <c r="G52" s="269"/>
      <c r="H52" s="269"/>
      <c r="I52" s="269"/>
      <c r="J52" s="269"/>
      <c r="K52" s="269"/>
      <c r="L52" s="273"/>
      <c r="M52" s="15"/>
      <c r="O52" s="7"/>
      <c r="AA52" s="9"/>
      <c r="BC52" s="23"/>
      <c r="BE52" s="198">
        <f ca="1">Data!AW5</f>
        <v>44059.610003935188</v>
      </c>
      <c r="BF52" s="199"/>
      <c r="BG52" s="199"/>
      <c r="BH52" s="199"/>
      <c r="BI52" s="199"/>
      <c r="BJ52" s="199"/>
      <c r="BK52" s="199"/>
      <c r="BM52" s="7">
        <v>3</v>
      </c>
      <c r="BN52" s="7" t="str">
        <f>L69&amp;":"&amp;L71</f>
        <v>0:0</v>
      </c>
      <c r="BO52" s="7" t="str">
        <f>Z74&amp;":"&amp;Z76</f>
        <v>0:0</v>
      </c>
      <c r="BP52" s="7" t="str">
        <f>AN66&amp;":"&amp;AN64</f>
        <v>0:0</v>
      </c>
    </row>
    <row r="53" spans="1:68" ht="6.75" customHeight="1" x14ac:dyDescent="0.2">
      <c r="A53" s="254">
        <v>15</v>
      </c>
      <c r="B53" s="255" t="str">
        <f ca="1">IF(A53=" "," ",IFERROR(VLOOKUP(LARGE(INDIRECT(VLOOKUP($A$5,'Start List'!$J$9:$Q$14,5,FALSE)),A53),'Start List'!$B$15:$V$139,3,FALSE),"bye to the next round"))</f>
        <v>bye to the next round</v>
      </c>
      <c r="C53" s="256"/>
      <c r="D53" s="256"/>
      <c r="E53" s="256"/>
      <c r="F53" s="256"/>
      <c r="G53" s="256"/>
      <c r="H53" s="256"/>
      <c r="I53" s="256"/>
      <c r="J53" s="256"/>
      <c r="K53" s="257"/>
      <c r="L53" s="261" t="str">
        <f ca="1">IFERROR(VLOOKUP(LARGE(INDIRECT(VLOOKUP($A$5,'Start List'!$J$9:$Q$14,5,FALSE)),'Senior Women'!A53),'Start List'!$B$15:$V$139,7,FALSE)," ")</f>
        <v xml:space="preserve"> </v>
      </c>
      <c r="M53" s="8"/>
      <c r="O53" s="7"/>
      <c r="AA53" s="9"/>
      <c r="BC53" s="23"/>
      <c r="BM53" s="7">
        <v>4</v>
      </c>
      <c r="BN53" s="7" t="str">
        <f>L29&amp;":"&amp;L31</f>
        <v>0:0</v>
      </c>
      <c r="BO53" s="7" t="str">
        <f>Z34&amp;":"&amp;Z36</f>
        <v>0:0</v>
      </c>
      <c r="BP53" s="7" t="str">
        <f>AN26&amp;":"&amp;AN24</f>
        <v>0:0</v>
      </c>
    </row>
    <row r="54" spans="1:68" ht="6.75" customHeight="1" thickBot="1" x14ac:dyDescent="0.25">
      <c r="A54" s="254"/>
      <c r="B54" s="258"/>
      <c r="C54" s="259"/>
      <c r="D54" s="259"/>
      <c r="E54" s="259"/>
      <c r="F54" s="259"/>
      <c r="G54" s="259"/>
      <c r="H54" s="259"/>
      <c r="I54" s="259"/>
      <c r="J54" s="259"/>
      <c r="K54" s="260"/>
      <c r="L54" s="262"/>
      <c r="M54" s="13"/>
      <c r="O54" s="263" t="str">
        <f>VLOOKUP(VLOOKUP($A$5,'Start List'!$J$9:$Q$14,8,FALSE)&amp;A47,Data!$D$2:$H$97,3,FALSE)</f>
        <v/>
      </c>
      <c r="P54" s="266"/>
      <c r="Q54" s="266"/>
      <c r="R54" s="266"/>
      <c r="S54" s="266"/>
      <c r="T54" s="266"/>
      <c r="U54" s="269">
        <f>IF(P54&gt;P56,2,IF(AND(P56=P54,P54&gt;0),1,0))</f>
        <v>0</v>
      </c>
      <c r="V54" s="269">
        <f>IF(Q54&gt;Q56,2,IF(AND(Q56=Q54,Q54&gt;0),1,0))</f>
        <v>0</v>
      </c>
      <c r="W54" s="269">
        <f>IF(R54&gt;R56,2,IF(AND(R56=R54,R54&gt;0),1,0))</f>
        <v>0</v>
      </c>
      <c r="X54" s="269">
        <f>IF(S54&gt;S56,2,IF(AND(S56=S54,S54&gt;0),1,0))</f>
        <v>0</v>
      </c>
      <c r="Y54" s="269">
        <f>IF(T54&gt;T56,2,IF(AND(T56=T54,T54&gt;0),1,0))</f>
        <v>0</v>
      </c>
      <c r="Z54" s="277">
        <f>SUM(U54:Y55)</f>
        <v>0</v>
      </c>
      <c r="AA54" s="9"/>
      <c r="BC54" s="23"/>
      <c r="BM54" s="7">
        <v>5</v>
      </c>
      <c r="BN54" s="7" t="str">
        <f>L39&amp;":"&amp;L41</f>
        <v>0:0</v>
      </c>
      <c r="BO54" s="7" t="str">
        <f>Z36&amp;":"&amp;Z34</f>
        <v>0:0</v>
      </c>
      <c r="BP54" s="7" t="str">
        <f>BP53</f>
        <v>0:0</v>
      </c>
    </row>
    <row r="55" spans="1:68" ht="6.75" customHeight="1" x14ac:dyDescent="0.2">
      <c r="A55" s="30"/>
      <c r="O55" s="263"/>
      <c r="P55" s="266"/>
      <c r="Q55" s="266"/>
      <c r="R55" s="266"/>
      <c r="S55" s="266"/>
      <c r="T55" s="266"/>
      <c r="U55" s="269"/>
      <c r="V55" s="269"/>
      <c r="W55" s="269"/>
      <c r="X55" s="269"/>
      <c r="Y55" s="269"/>
      <c r="Z55" s="277"/>
      <c r="AA55" s="9"/>
      <c r="AC55" s="254">
        <f ca="1">IF(P60="bye to the next round",O50,IF(AND(Z54&gt;Z56,Z54&gt;4),O50,IF(AND(Z56&gt;Z54,Z56&gt;4),O60,IF(AND(Z54=5,Z56=5),MIN(O50,O60)," "))))</f>
        <v>2</v>
      </c>
      <c r="AD55" s="292" t="str">
        <f ca="1">IF(AC55=" "," ",IFERROR(VLOOKUP(LARGE(INDIRECT(VLOOKUP($A$5,'Start List'!$J$9:$Q$14,5,FALSE)),AC55),'Start List'!$B$15:$V$139,3,FALSE),"bye to the next round"))</f>
        <v>Dr. Lénárt Ágota</v>
      </c>
      <c r="AE55" s="293"/>
      <c r="AF55" s="293"/>
      <c r="AG55" s="293"/>
      <c r="AH55" s="293"/>
      <c r="AI55" s="293"/>
      <c r="AJ55" s="293"/>
      <c r="AK55" s="293"/>
      <c r="AL55" s="293"/>
      <c r="AM55" s="294"/>
      <c r="AN55" s="261" t="str">
        <f ca="1">IFERROR(VLOOKUP(LARGE(INDIRECT(VLOOKUP($A$5,'Start List'!$J$9:$Q$14,5,FALSE)),'Senior Women'!AC55),'Start List'!$B$15:$V$139,7,FALSE)," ")</f>
        <v xml:space="preserve"> </v>
      </c>
      <c r="BC55" s="23"/>
      <c r="BM55" s="7">
        <v>6</v>
      </c>
      <c r="BN55" s="7" t="str">
        <f>L79&amp;":"&amp;L81</f>
        <v>0:0</v>
      </c>
      <c r="BO55" s="7" t="str">
        <f>Z76&amp;":"&amp;Z74</f>
        <v>0:0</v>
      </c>
      <c r="BP55" s="7" t="str">
        <f>BP52</f>
        <v>0:0</v>
      </c>
    </row>
    <row r="56" spans="1:68" ht="6.75" customHeight="1" thickBot="1" x14ac:dyDescent="0.25">
      <c r="A56" s="29"/>
      <c r="B56" s="29"/>
      <c r="C56" s="29"/>
      <c r="D56" s="29"/>
      <c r="E56" s="29"/>
      <c r="F56" s="29"/>
      <c r="G56" s="29"/>
      <c r="H56" s="29"/>
      <c r="I56" s="29"/>
      <c r="J56" s="29"/>
      <c r="K56" s="29"/>
      <c r="L56" s="29"/>
      <c r="M56" s="29"/>
      <c r="N56" s="29"/>
      <c r="O56" s="263" t="str">
        <f>VLOOKUP(VLOOKUP($A$5,'Start List'!$J$9:$Q$14,8,FALSE)&amp;A63,Data!$D$2:$H$97,3,FALSE)</f>
        <v/>
      </c>
      <c r="P56" s="266"/>
      <c r="Q56" s="266"/>
      <c r="R56" s="266"/>
      <c r="S56" s="266"/>
      <c r="T56" s="266"/>
      <c r="U56" s="269">
        <f>IF(P54&lt;P56,2,IF(AND(P56=P54,P56&gt;0),1,0))</f>
        <v>0</v>
      </c>
      <c r="V56" s="269">
        <f>IF(Q54&lt;Q56,2,IF(AND(Q56=Q54,Q56&gt;0),1,0))</f>
        <v>0</v>
      </c>
      <c r="W56" s="269">
        <f>IF(R54&lt;R56,2,IF(AND(R56=R54,R56&gt;0),1,0))</f>
        <v>0</v>
      </c>
      <c r="X56" s="269">
        <f>IF(S54&lt;S56,2,IF(AND(S56=S54,S56&gt;0),1,0))</f>
        <v>0</v>
      </c>
      <c r="Y56" s="269">
        <f>IF(T54&lt;T56,2,IF(AND(T56=T54,T56&gt;0),1,0))</f>
        <v>0</v>
      </c>
      <c r="Z56" s="277">
        <f>SUM(U56:Y57)</f>
        <v>0</v>
      </c>
      <c r="AA56" s="17"/>
      <c r="AB56" s="19"/>
      <c r="AC56" s="254"/>
      <c r="AD56" s="295"/>
      <c r="AE56" s="296"/>
      <c r="AF56" s="296"/>
      <c r="AG56" s="296"/>
      <c r="AH56" s="296"/>
      <c r="AI56" s="296"/>
      <c r="AJ56" s="296"/>
      <c r="AK56" s="296"/>
      <c r="AL56" s="296"/>
      <c r="AM56" s="297"/>
      <c r="AN56" s="262"/>
      <c r="AO56" s="14"/>
      <c r="BC56" s="23"/>
      <c r="BM56" s="7">
        <v>7</v>
      </c>
      <c r="BN56" s="7" t="str">
        <f>L59&amp;":"&amp;L61</f>
        <v>0:0</v>
      </c>
      <c r="BO56" s="7" t="str">
        <f>Z56&amp;":"&amp;Z54</f>
        <v>0:0</v>
      </c>
      <c r="BP56" s="7" t="str">
        <f>BP51</f>
        <v>0:0</v>
      </c>
    </row>
    <row r="57" spans="1:68" ht="6.75" customHeight="1" x14ac:dyDescent="0.2">
      <c r="A57" s="254">
        <v>7</v>
      </c>
      <c r="B57" s="255" t="str">
        <f ca="1">IF(A57=" "," ",IFERROR(VLOOKUP(LARGE(INDIRECT(VLOOKUP($A$5,'Start List'!$J$9:$Q$14,5,FALSE)),A57),'Start List'!$B$15:$V$139,3,FALSE),"bye to the next round"))</f>
        <v>bye to the next round</v>
      </c>
      <c r="C57" s="256"/>
      <c r="D57" s="256"/>
      <c r="E57" s="256"/>
      <c r="F57" s="256"/>
      <c r="G57" s="256"/>
      <c r="H57" s="256"/>
      <c r="I57" s="256"/>
      <c r="J57" s="256"/>
      <c r="K57" s="257"/>
      <c r="L57" s="261" t="str">
        <f ca="1">IFERROR(VLOOKUP(LARGE(INDIRECT(VLOOKUP($A$5,'Start List'!$J$9:$Q$14,5,FALSE)),'Senior Women'!A57),'Start List'!$B$15:$V$139,7,FALSE)," ")</f>
        <v xml:space="preserve"> </v>
      </c>
      <c r="M57" s="2"/>
      <c r="N57" s="5"/>
      <c r="O57" s="263"/>
      <c r="P57" s="266"/>
      <c r="Q57" s="266"/>
      <c r="R57" s="266"/>
      <c r="S57" s="266"/>
      <c r="T57" s="266"/>
      <c r="U57" s="269"/>
      <c r="V57" s="269"/>
      <c r="W57" s="269"/>
      <c r="X57" s="269"/>
      <c r="Y57" s="269"/>
      <c r="Z57" s="277"/>
      <c r="AA57" s="18"/>
      <c r="AB57" s="1"/>
      <c r="AO57" s="9"/>
      <c r="AQ57" s="278" t="str">
        <f>VLOOKUP("BMM",Translation!$A$1:$E$57,Data!$AP$2,FALSE)</f>
        <v>Bronze Medal Match</v>
      </c>
      <c r="AR57" s="278"/>
      <c r="AS57" s="278"/>
      <c r="AT57" s="278"/>
      <c r="AU57" s="278"/>
      <c r="AV57" s="278"/>
      <c r="AW57" s="278"/>
      <c r="AX57" s="278"/>
      <c r="AY57" s="278"/>
      <c r="AZ57" s="278"/>
      <c r="BA57" s="278"/>
      <c r="BB57" s="278"/>
      <c r="BC57" s="23"/>
      <c r="BM57" s="7">
        <v>8</v>
      </c>
      <c r="BN57" s="7" t="str">
        <f>L19&amp;":"&amp;L21</f>
        <v>0:0</v>
      </c>
      <c r="BO57" s="7" t="str">
        <f>Z16&amp;":"&amp;Z14</f>
        <v>0:0</v>
      </c>
      <c r="BP57" s="7" t="str">
        <f>BP50</f>
        <v>0:0</v>
      </c>
    </row>
    <row r="58" spans="1:68" ht="6.75" customHeight="1" thickBot="1" x14ac:dyDescent="0.25">
      <c r="A58" s="270"/>
      <c r="B58" s="258"/>
      <c r="C58" s="259"/>
      <c r="D58" s="259"/>
      <c r="E58" s="259"/>
      <c r="F58" s="259"/>
      <c r="G58" s="259"/>
      <c r="H58" s="259"/>
      <c r="I58" s="259"/>
      <c r="J58" s="259"/>
      <c r="K58" s="260"/>
      <c r="L58" s="262"/>
      <c r="M58" s="14"/>
      <c r="AA58" s="9"/>
      <c r="AO58" s="9"/>
      <c r="AQ58" s="278"/>
      <c r="AR58" s="278"/>
      <c r="AS58" s="278"/>
      <c r="AT58" s="278"/>
      <c r="AU58" s="278"/>
      <c r="AV58" s="278"/>
      <c r="AW58" s="278"/>
      <c r="AX58" s="278"/>
      <c r="AY58" s="278"/>
      <c r="AZ58" s="278"/>
      <c r="BA58" s="278"/>
      <c r="BB58" s="278"/>
      <c r="BC58" s="23"/>
      <c r="BM58" s="7">
        <v>9</v>
      </c>
      <c r="BN58" s="7" t="str">
        <f>L21&amp;":"&amp;L19</f>
        <v>0:0</v>
      </c>
      <c r="BO58" s="7" t="str">
        <f>BO57</f>
        <v>0:0</v>
      </c>
      <c r="BP58" s="7" t="str">
        <f>BP50</f>
        <v>0:0</v>
      </c>
    </row>
    <row r="59" spans="1:68" ht="6.75" customHeight="1" thickBot="1" x14ac:dyDescent="0.25">
      <c r="A59" s="263" t="str">
        <f>VLOOKUP(VLOOKUP($A$5,'Start List'!$J$9:$Q$14,8,FALSE)&amp;A57,Data!$D$2:$H$97,2,FALSE)</f>
        <v/>
      </c>
      <c r="B59" s="274"/>
      <c r="C59" s="271"/>
      <c r="D59" s="271"/>
      <c r="E59" s="271"/>
      <c r="F59" s="271"/>
      <c r="G59" s="268">
        <f>IF(B59&gt;B61,2,IF(AND(B61=B59,B59&gt;0),1,0))</f>
        <v>0</v>
      </c>
      <c r="H59" s="268">
        <f>IF(C59&gt;C61,2,IF(AND(C61=C59,C59&gt;0),1,0))</f>
        <v>0</v>
      </c>
      <c r="I59" s="268">
        <f>IF(D59&gt;D61,2,IF(AND(D61=D59,D59&gt;0),1,0))</f>
        <v>0</v>
      </c>
      <c r="J59" s="268">
        <f>IF(E59&gt;E61,2,IF(AND(E61=E59,E59&gt;0),1,0))</f>
        <v>0</v>
      </c>
      <c r="K59" s="268">
        <f>IF(F59&gt;F61,2,IF(AND(F61=F59,F59&gt;0),1,0))</f>
        <v>0</v>
      </c>
      <c r="L59" s="272">
        <f>SUM(G59:K60)</f>
        <v>0</v>
      </c>
      <c r="M59" s="9"/>
      <c r="AA59" s="9"/>
      <c r="AO59" s="9"/>
      <c r="BM59" s="7">
        <v>10</v>
      </c>
      <c r="BN59" s="7" t="str">
        <f>L61&amp;":"&amp;L59</f>
        <v>0:0</v>
      </c>
      <c r="BO59" s="7" t="str">
        <f>BO56</f>
        <v>0:0</v>
      </c>
      <c r="BP59" s="7" t="str">
        <f t="shared" ref="BP59:BP65" si="0">BP51</f>
        <v>0:0</v>
      </c>
    </row>
    <row r="60" spans="1:68" ht="6.75" customHeight="1" x14ac:dyDescent="0.2">
      <c r="A60" s="263"/>
      <c r="B60" s="264"/>
      <c r="C60" s="266"/>
      <c r="D60" s="266"/>
      <c r="E60" s="266"/>
      <c r="F60" s="266"/>
      <c r="G60" s="269"/>
      <c r="H60" s="269"/>
      <c r="I60" s="269"/>
      <c r="J60" s="269"/>
      <c r="K60" s="269"/>
      <c r="L60" s="273"/>
      <c r="M60" s="15"/>
      <c r="O60" s="254">
        <f ca="1">IF(B63="bye to the next round",A57,IF(AND(L59&gt;L61,L59&gt;4),A57,IF(AND(L61&gt;L59,L61&gt;4),A63,IF(AND(L59=5,L61=5),MIN(A57,A63)," "))))</f>
        <v>7</v>
      </c>
      <c r="P60" s="255" t="str">
        <f ca="1">IF(O60=" "," ",IFERROR(VLOOKUP(LARGE(INDIRECT(VLOOKUP($A$5,'Start List'!$J$9:$Q$14,5,FALSE)),O60),'Start List'!$B$15:$V$139,3,FALSE),"bye to the next round"))</f>
        <v>bye to the next round</v>
      </c>
      <c r="Q60" s="256"/>
      <c r="R60" s="256"/>
      <c r="S60" s="256"/>
      <c r="T60" s="256"/>
      <c r="U60" s="256"/>
      <c r="V60" s="256"/>
      <c r="W60" s="256"/>
      <c r="X60" s="256"/>
      <c r="Y60" s="257"/>
      <c r="Z60" s="261" t="str">
        <f ca="1">IFERROR(VLOOKUP(LARGE(INDIRECT(VLOOKUP($A$5,'Start List'!$J$9:$Q$14,5,FALSE)),'Senior Women'!O60),'Start List'!$B$15:$V$139,7,FALSE)," ")</f>
        <v xml:space="preserve"> </v>
      </c>
      <c r="AA60" s="8"/>
      <c r="AO60" s="9"/>
      <c r="AQ60" s="254" t="str">
        <f>IF(AND(AN24&gt;AN26,AN24&gt;4),AC35,IF(AND(AN26&gt;AN24,AN26&gt;4),AC15,IF(AND(AN24=5,AN26=5),MAX(AC15,AC35)," ")))</f>
        <v xml:space="preserve"> </v>
      </c>
      <c r="AR60" s="255" t="str">
        <f ca="1">IF(AQ60=" "," ",IFERROR(VLOOKUP(LARGE(INDIRECT(VLOOKUP($A$5,'Start List'!$J$9:$Q$14,5,FALSE)),AQ60),'Start List'!$B$15:$V$139,3,FALSE),"bye to the next round"))</f>
        <v xml:space="preserve"> </v>
      </c>
      <c r="AS60" s="256"/>
      <c r="AT60" s="256"/>
      <c r="AU60" s="256"/>
      <c r="AV60" s="256"/>
      <c r="AW60" s="256"/>
      <c r="AX60" s="256"/>
      <c r="AY60" s="256"/>
      <c r="AZ60" s="256"/>
      <c r="BA60" s="257"/>
      <c r="BB60" s="261" t="str">
        <f ca="1">IFERROR(VLOOKUP(LARGE(INDIRECT(VLOOKUP($A$5,'Start List'!$J$9:$Q$14,5,FALSE)),'Senior Women'!AQ60),'Start List'!$B$15:$V$139,7,FALSE)," ")</f>
        <v xml:space="preserve"> </v>
      </c>
      <c r="BC60" s="16"/>
      <c r="BM60" s="7">
        <v>11</v>
      </c>
      <c r="BN60" s="7" t="str">
        <f>L81&amp;":"&amp;L79</f>
        <v>0:0</v>
      </c>
      <c r="BO60" s="7" t="str">
        <f>BO55</f>
        <v>0:0</v>
      </c>
      <c r="BP60" s="7" t="str">
        <f t="shared" si="0"/>
        <v>0:0</v>
      </c>
    </row>
    <row r="61" spans="1:68" ht="6.75" customHeight="1" thickBot="1" x14ac:dyDescent="0.25">
      <c r="A61" s="263" t="str">
        <f>VLOOKUP(VLOOKUP($A$5,'Start List'!$J$9:$Q$14,8,FALSE)&amp;A63,Data!$D$2:$H$97,2,FALSE)</f>
        <v/>
      </c>
      <c r="B61" s="264"/>
      <c r="C61" s="266"/>
      <c r="D61" s="266"/>
      <c r="E61" s="266"/>
      <c r="F61" s="266"/>
      <c r="G61" s="268">
        <f>IF(B59&lt;B61,2,IF(AND(B61=B59,B61&gt;0),1,0))</f>
        <v>0</v>
      </c>
      <c r="H61" s="268">
        <f>IF(C59&lt;C61,2,IF(AND(C61=C59,C61&gt;0),1,0))</f>
        <v>0</v>
      </c>
      <c r="I61" s="268">
        <f>IF(D59&lt;D61,2,IF(AND(D61=D59,D61&gt;0),1,0))</f>
        <v>0</v>
      </c>
      <c r="J61" s="268">
        <f>IF(E59&lt;E61,2,IF(AND(E61=E59,E61&gt;0),1,0))</f>
        <v>0</v>
      </c>
      <c r="K61" s="268">
        <f>IF(F59&lt;F61,2,IF(AND(F61=F59,F61&gt;0),1,0))</f>
        <v>0</v>
      </c>
      <c r="L61" s="272">
        <f>SUM(G61:K62)</f>
        <v>0</v>
      </c>
      <c r="M61" s="15"/>
      <c r="N61" s="10"/>
      <c r="O61" s="254"/>
      <c r="P61" s="258"/>
      <c r="Q61" s="259"/>
      <c r="R61" s="259"/>
      <c r="S61" s="259"/>
      <c r="T61" s="259"/>
      <c r="U61" s="259"/>
      <c r="V61" s="259"/>
      <c r="W61" s="259"/>
      <c r="X61" s="259"/>
      <c r="Y61" s="260"/>
      <c r="Z61" s="262"/>
      <c r="AA61" s="13"/>
      <c r="AO61" s="9"/>
      <c r="AQ61" s="254"/>
      <c r="AR61" s="258"/>
      <c r="AS61" s="259"/>
      <c r="AT61" s="259"/>
      <c r="AU61" s="259"/>
      <c r="AV61" s="259"/>
      <c r="AW61" s="259"/>
      <c r="AX61" s="259"/>
      <c r="AY61" s="259"/>
      <c r="AZ61" s="259"/>
      <c r="BA61" s="260"/>
      <c r="BB61" s="262"/>
      <c r="BC61" s="9"/>
      <c r="BM61" s="7">
        <v>12</v>
      </c>
      <c r="BN61" s="7" t="str">
        <f>L41&amp;":"&amp;L39</f>
        <v>0:0</v>
      </c>
      <c r="BO61" s="7" t="str">
        <f>BO54</f>
        <v>0:0</v>
      </c>
      <c r="BP61" s="7" t="str">
        <f t="shared" si="0"/>
        <v>0:0</v>
      </c>
    </row>
    <row r="62" spans="1:68" ht="6.75" customHeight="1" thickBot="1" x14ac:dyDescent="0.25">
      <c r="A62" s="263"/>
      <c r="B62" s="265"/>
      <c r="C62" s="267"/>
      <c r="D62" s="267"/>
      <c r="E62" s="267"/>
      <c r="F62" s="267"/>
      <c r="G62" s="269"/>
      <c r="H62" s="269"/>
      <c r="I62" s="269"/>
      <c r="J62" s="269"/>
      <c r="K62" s="269"/>
      <c r="L62" s="273"/>
      <c r="M62" s="15"/>
      <c r="O62" s="7"/>
      <c r="AO62" s="9"/>
      <c r="BC62" s="26"/>
      <c r="BD62" s="5"/>
      <c r="BM62" s="7">
        <v>13</v>
      </c>
      <c r="BN62" s="7" t="str">
        <f>L31&amp;":"&amp;L29</f>
        <v>0:0</v>
      </c>
      <c r="BO62" s="7" t="str">
        <f>BO53</f>
        <v>0:0</v>
      </c>
      <c r="BP62" s="7" t="str">
        <f t="shared" si="0"/>
        <v>0:0</v>
      </c>
    </row>
    <row r="63" spans="1:68" ht="6.75" customHeight="1" x14ac:dyDescent="0.2">
      <c r="A63" s="254">
        <v>10</v>
      </c>
      <c r="B63" s="255" t="str">
        <f ca="1">IF(A63=" "," ",IFERROR(VLOOKUP(LARGE(INDIRECT(VLOOKUP($A$5,'Start List'!$J$9:$Q$14,5,FALSE)),A63),'Start List'!$B$15:$V$139,3,FALSE),"bye to the next round"))</f>
        <v>bye to the next round</v>
      </c>
      <c r="C63" s="256"/>
      <c r="D63" s="256"/>
      <c r="E63" s="256"/>
      <c r="F63" s="256"/>
      <c r="G63" s="256"/>
      <c r="H63" s="256"/>
      <c r="I63" s="256"/>
      <c r="J63" s="256"/>
      <c r="K63" s="257"/>
      <c r="L63" s="261" t="str">
        <f ca="1">IFERROR(VLOOKUP(LARGE(INDIRECT(VLOOKUP($A$5,'Start List'!$J$9:$Q$14,5,FALSE)),'Senior Women'!A63),'Start List'!$B$15:$V$139,7,FALSE)," ")</f>
        <v xml:space="preserve"> </v>
      </c>
      <c r="M63" s="8"/>
      <c r="O63" s="7"/>
      <c r="AO63" s="9"/>
      <c r="BC63" s="9"/>
      <c r="BM63" s="7">
        <v>14</v>
      </c>
      <c r="BN63" s="7" t="str">
        <f>L71&amp;":"&amp;L69</f>
        <v>0:0</v>
      </c>
      <c r="BO63" s="7" t="str">
        <f>BO52</f>
        <v>0:0</v>
      </c>
      <c r="BP63" s="7" t="str">
        <f t="shared" si="0"/>
        <v>0:0</v>
      </c>
    </row>
    <row r="64" spans="1:68" ht="6.75" customHeight="1" thickBot="1" x14ac:dyDescent="0.25">
      <c r="A64" s="254"/>
      <c r="B64" s="258"/>
      <c r="C64" s="259"/>
      <c r="D64" s="259"/>
      <c r="E64" s="259"/>
      <c r="F64" s="259"/>
      <c r="G64" s="259"/>
      <c r="H64" s="259"/>
      <c r="I64" s="259"/>
      <c r="J64" s="259"/>
      <c r="K64" s="260"/>
      <c r="L64" s="262"/>
      <c r="M64" s="13"/>
      <c r="AC64" s="263">
        <f>VLOOKUP(VLOOKUP($A$5,'Start List'!$J$9:$Q$14,8,FALSE)&amp;A47,Data!$D$2:$H$97,4,FALSE)</f>
        <v>35</v>
      </c>
      <c r="AD64" s="266"/>
      <c r="AE64" s="266"/>
      <c r="AF64" s="266"/>
      <c r="AG64" s="266"/>
      <c r="AH64" s="266"/>
      <c r="AI64" s="269">
        <f>IF(AD64&gt;AD66,2,IF(AND(AD66=AD64,AD64&gt;0),1,0))</f>
        <v>0</v>
      </c>
      <c r="AJ64" s="269">
        <f>IF(AE64&gt;AE66,2,IF(AND(AE66=AE64,AE64&gt;0),1,0))</f>
        <v>0</v>
      </c>
      <c r="AK64" s="269">
        <f>IF(AF64&gt;AF66,2,IF(AND(AF66=AF64,AF64&gt;0),1,0))</f>
        <v>0</v>
      </c>
      <c r="AL64" s="269">
        <f>IF(AG64&gt;AG66,2,IF(AND(AG66=AG64,AG64&gt;0),1,0))</f>
        <v>0</v>
      </c>
      <c r="AM64" s="269">
        <f>IF(AH64&gt;AH66,2,IF(AND(AH66=AH64,AH64&gt;0),1,0))</f>
        <v>0</v>
      </c>
      <c r="AN64" s="277">
        <f>SUM(AI64:AM65)</f>
        <v>0</v>
      </c>
      <c r="AO64" s="9"/>
      <c r="AQ64" s="263">
        <f>VLOOKUP(VLOOKUP($A$5,'Start List'!$J$9:$Q$14,8,FALSE)&amp;A7,Data!$D$2:$H$97,5,FALSE)</f>
        <v>16</v>
      </c>
      <c r="AR64" s="266"/>
      <c r="AS64" s="266"/>
      <c r="AT64" s="266"/>
      <c r="AU64" s="266"/>
      <c r="AV64" s="266"/>
      <c r="AW64" s="269">
        <f>IF(AR64&gt;AR66,2,IF(AND(AR66=AR64,AR64&gt;0),1,0))</f>
        <v>0</v>
      </c>
      <c r="AX64" s="269">
        <f>IF(AS64&gt;AS66,2,IF(AND(AS66=AS64,AS64&gt;0),1,0))</f>
        <v>0</v>
      </c>
      <c r="AY64" s="269">
        <f>IF(AT64&gt;AT66,2,IF(AND(AT66=AT64,AT64&gt;0),1,0))</f>
        <v>0</v>
      </c>
      <c r="AZ64" s="269">
        <f>IF(AU64&gt;AU66,2,IF(AND(AU66=AU64,AU64&gt;0),1,0))</f>
        <v>0</v>
      </c>
      <c r="BA64" s="269">
        <f>IF(AV64&gt;AV66,2,IF(AND(AV66=AV64,AV64&gt;0),1,0))</f>
        <v>0</v>
      </c>
      <c r="BB64" s="277">
        <f>SUM(AW64:BA65)</f>
        <v>0</v>
      </c>
      <c r="BC64" s="9"/>
      <c r="BM64" s="7">
        <v>15</v>
      </c>
      <c r="BN64" s="7" t="str">
        <f>L51&amp;":"&amp;L49</f>
        <v>0:0</v>
      </c>
      <c r="BO64" s="7" t="str">
        <f>BO51</f>
        <v>0:0</v>
      </c>
      <c r="BP64" s="7" t="str">
        <f t="shared" si="0"/>
        <v>0:0</v>
      </c>
    </row>
    <row r="65" spans="1:72" ht="6.75" customHeight="1" x14ac:dyDescent="0.2">
      <c r="A65" s="30"/>
      <c r="AC65" s="263"/>
      <c r="AD65" s="266"/>
      <c r="AE65" s="266"/>
      <c r="AF65" s="266"/>
      <c r="AG65" s="266"/>
      <c r="AH65" s="266"/>
      <c r="AI65" s="269"/>
      <c r="AJ65" s="269"/>
      <c r="AK65" s="269"/>
      <c r="AL65" s="269"/>
      <c r="AM65" s="269"/>
      <c r="AN65" s="277"/>
      <c r="AO65" s="9"/>
      <c r="AQ65" s="263"/>
      <c r="AR65" s="266"/>
      <c r="AS65" s="266"/>
      <c r="AT65" s="266"/>
      <c r="AU65" s="266"/>
      <c r="AV65" s="266"/>
      <c r="AW65" s="269"/>
      <c r="AX65" s="269"/>
      <c r="AY65" s="269"/>
      <c r="AZ65" s="269"/>
      <c r="BA65" s="269"/>
      <c r="BB65" s="277"/>
      <c r="BC65" s="15"/>
      <c r="BE65" s="254" t="str">
        <f>IF(AND(BB64&gt;BB66,BB64&gt;4),AQ60,IF(AND(BB66&gt;BB64,BB66&gt;4),AQ70,IF(AND(BB64=5,BB66=5),MIN(AQ60,AQ70)," ")))</f>
        <v xml:space="preserve"> </v>
      </c>
      <c r="BF65" s="279" t="str">
        <f ca="1">IF(BE65=" "," ",IFERROR(VLOOKUP(LARGE(INDIRECT(VLOOKUP($A$5,'Start List'!$J$9:$Q$14,5,FALSE)),BE65),'Start List'!$B$15:$V$139,3,FALSE),"bye to the next round"))</f>
        <v xml:space="preserve"> </v>
      </c>
      <c r="BG65" s="256"/>
      <c r="BH65" s="256"/>
      <c r="BI65" s="256"/>
      <c r="BJ65" s="257"/>
      <c r="BK65" s="261" t="str">
        <f ca="1">IFERROR(VLOOKUP(LARGE(INDIRECT(VLOOKUP($A$5,'Start List'!$J$9:$Q$14,5,FALSE)),BE65),'Start List'!$B$15:$V$139,7,FALSE)," ")</f>
        <v xml:space="preserve"> </v>
      </c>
      <c r="BM65" s="7">
        <v>16</v>
      </c>
      <c r="BN65" s="7" t="str">
        <f>L11&amp;":"&amp;L9</f>
        <v>0:0</v>
      </c>
      <c r="BO65" s="7" t="str">
        <f>BO50</f>
        <v>0:0</v>
      </c>
      <c r="BP65" s="7" t="str">
        <f t="shared" si="0"/>
        <v>0:0</v>
      </c>
    </row>
    <row r="66" spans="1:72" ht="6.75" customHeight="1" thickBo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63">
        <f>VLOOKUP(VLOOKUP($A$5,'Start List'!$J$9:$Q$14,8,FALSE)&amp;A83,Data!$D$2:$H$97,4,FALSE)</f>
        <v>36</v>
      </c>
      <c r="AD66" s="266"/>
      <c r="AE66" s="266"/>
      <c r="AF66" s="266"/>
      <c r="AG66" s="266"/>
      <c r="AH66" s="266"/>
      <c r="AI66" s="269">
        <f>IF(AD64&lt;AD66,2,IF(AND(AD66=AD64,AD66&gt;0),1,0))</f>
        <v>0</v>
      </c>
      <c r="AJ66" s="269">
        <f>IF(AE64&lt;AE66,2,IF(AND(AE66=AE64,AE66&gt;0),1,0))</f>
        <v>0</v>
      </c>
      <c r="AK66" s="269">
        <f>IF(AF64&lt;AF66,2,IF(AND(AF66=AF64,AF66&gt;0),1,0))</f>
        <v>0</v>
      </c>
      <c r="AL66" s="269">
        <f>IF(AG64&lt;AG66,2,IF(AND(AG66=AG64,AG66&gt;0),1,0))</f>
        <v>0</v>
      </c>
      <c r="AM66" s="269">
        <f>IF(AH64&lt;AH66,2,IF(AND(AH66=AH64,AH66&gt;0),1,0))</f>
        <v>0</v>
      </c>
      <c r="AN66" s="277">
        <f>SUM(AI66:AM67)</f>
        <v>0</v>
      </c>
      <c r="AO66" s="9"/>
      <c r="AP66" s="24"/>
      <c r="AQ66" s="263">
        <f>VLOOKUP(VLOOKUP($A$5,'Start List'!$J$9:$Q$14,8,FALSE)&amp;A47,Data!$D$2:$H$97,5,FALSE)</f>
        <v>17</v>
      </c>
      <c r="AR66" s="266"/>
      <c r="AS66" s="266"/>
      <c r="AT66" s="266"/>
      <c r="AU66" s="266"/>
      <c r="AV66" s="266"/>
      <c r="AW66" s="269">
        <f>IF(AR64&lt;AR66,2,IF(AND(AR66=AR64,AR66&gt;0),1,0))</f>
        <v>0</v>
      </c>
      <c r="AX66" s="269">
        <f>IF(AS64&lt;AS66,2,IF(AND(AS66=AS64,AS66&gt;0),1,0))</f>
        <v>0</v>
      </c>
      <c r="AY66" s="269">
        <f>IF(AT64&lt;AT66,2,IF(AND(AT66=AT64,AT66&gt;0),1,0))</f>
        <v>0</v>
      </c>
      <c r="AZ66" s="269">
        <f>IF(AU64&lt;AU66,2,IF(AND(AU66=AU64,AU66&gt;0),1,0))</f>
        <v>0</v>
      </c>
      <c r="BA66" s="269">
        <f>IF(AV64&lt;AV66,2,IF(AND(AV66=AV64,AV66&gt;0),1,0))</f>
        <v>0</v>
      </c>
      <c r="BB66" s="277">
        <f>SUM(AW66:BA67)</f>
        <v>0</v>
      </c>
      <c r="BC66" s="15"/>
      <c r="BD66" s="10"/>
      <c r="BE66" s="254"/>
      <c r="BF66" s="258"/>
      <c r="BG66" s="259"/>
      <c r="BH66" s="259"/>
      <c r="BI66" s="259"/>
      <c r="BJ66" s="260"/>
      <c r="BK66" s="262"/>
    </row>
    <row r="67" spans="1:72" ht="6.75" customHeight="1" x14ac:dyDescent="0.2">
      <c r="A67" s="254">
        <v>3</v>
      </c>
      <c r="B67" s="255" t="str">
        <f ca="1">IF(A67=" "," ",IFERROR(VLOOKUP(LARGE(INDIRECT(VLOOKUP($A$5,'Start List'!$J$9:$Q$14,5,FALSE)),A67),'Start List'!$B$15:$V$139,3,FALSE),"bye to the next round"))</f>
        <v>Kocsis Mária</v>
      </c>
      <c r="C67" s="256"/>
      <c r="D67" s="256"/>
      <c r="E67" s="256"/>
      <c r="F67" s="256"/>
      <c r="G67" s="256"/>
      <c r="H67" s="256"/>
      <c r="I67" s="256"/>
      <c r="J67" s="256"/>
      <c r="K67" s="257"/>
      <c r="L67" s="261" t="str">
        <f ca="1">IFERROR(VLOOKUP(LARGE(INDIRECT(VLOOKUP($A$5,'Start List'!$J$9:$Q$14,5,FALSE)),'Senior Women'!A67),'Start List'!$B$15:$V$139,7,FALSE)," ")</f>
        <v xml:space="preserve"> </v>
      </c>
      <c r="M67" s="2"/>
      <c r="N67" s="5"/>
      <c r="O67" s="11"/>
      <c r="P67" s="1"/>
      <c r="Q67" s="1"/>
      <c r="R67" s="1"/>
      <c r="S67" s="1"/>
      <c r="T67" s="1"/>
      <c r="U67" s="1"/>
      <c r="V67" s="1"/>
      <c r="W67" s="1"/>
      <c r="X67" s="1"/>
      <c r="Y67" s="1"/>
      <c r="Z67" s="1"/>
      <c r="AA67" s="1"/>
      <c r="AB67" s="1"/>
      <c r="AC67" s="263"/>
      <c r="AD67" s="266"/>
      <c r="AE67" s="266"/>
      <c r="AF67" s="266"/>
      <c r="AG67" s="266"/>
      <c r="AH67" s="266"/>
      <c r="AI67" s="269"/>
      <c r="AJ67" s="269"/>
      <c r="AK67" s="269"/>
      <c r="AL67" s="269"/>
      <c r="AM67" s="269"/>
      <c r="AN67" s="277"/>
      <c r="AO67" s="9"/>
      <c r="AQ67" s="263"/>
      <c r="AR67" s="266"/>
      <c r="AS67" s="266"/>
      <c r="AT67" s="266"/>
      <c r="AU67" s="266"/>
      <c r="AV67" s="266"/>
      <c r="AW67" s="269"/>
      <c r="AX67" s="269"/>
      <c r="AY67" s="269"/>
      <c r="AZ67" s="269"/>
      <c r="BA67" s="269"/>
      <c r="BB67" s="277"/>
      <c r="BC67" s="15"/>
    </row>
    <row r="68" spans="1:72" ht="6.75" customHeight="1" thickBot="1" x14ac:dyDescent="0.25">
      <c r="A68" s="270"/>
      <c r="B68" s="258"/>
      <c r="C68" s="259"/>
      <c r="D68" s="259"/>
      <c r="E68" s="259"/>
      <c r="F68" s="259"/>
      <c r="G68" s="259"/>
      <c r="H68" s="259"/>
      <c r="I68" s="259"/>
      <c r="J68" s="259"/>
      <c r="K68" s="260"/>
      <c r="L68" s="262"/>
      <c r="M68" s="14"/>
      <c r="AO68" s="9"/>
      <c r="AQ68" s="23"/>
      <c r="BC68" s="9"/>
    </row>
    <row r="69" spans="1:72" ht="6.75" customHeight="1" thickBot="1" x14ac:dyDescent="0.25">
      <c r="A69" s="263" t="str">
        <f>VLOOKUP(VLOOKUP($A$5,'Start List'!$J$9:$Q$14,8,FALSE)&amp;A67,Data!$D$2:$H$97,2,FALSE)</f>
        <v/>
      </c>
      <c r="B69" s="274"/>
      <c r="C69" s="271"/>
      <c r="D69" s="271"/>
      <c r="E69" s="271"/>
      <c r="F69" s="271"/>
      <c r="G69" s="268">
        <f>IF(B69&gt;B71,2,IF(AND(B71=B69,B69&gt;0),1,0))</f>
        <v>0</v>
      </c>
      <c r="H69" s="268">
        <f>IF(C69&gt;C71,2,IF(AND(C71=C69,C69&gt;0),1,0))</f>
        <v>0</v>
      </c>
      <c r="I69" s="268">
        <f>IF(D69&gt;D71,2,IF(AND(D71=D69,D69&gt;0),1,0))</f>
        <v>0</v>
      </c>
      <c r="J69" s="268">
        <f>IF(E69&gt;E71,2,IF(AND(E71=E69,E69&gt;0),1,0))</f>
        <v>0</v>
      </c>
      <c r="K69" s="268">
        <f>IF(F69&gt;F71,2,IF(AND(F71=F69,F69&gt;0),1,0))</f>
        <v>0</v>
      </c>
      <c r="L69" s="272">
        <f>SUM(G69:K70)</f>
        <v>0</v>
      </c>
      <c r="M69" s="9"/>
      <c r="AO69" s="9"/>
      <c r="BC69" s="9"/>
      <c r="BE69" s="3"/>
    </row>
    <row r="70" spans="1:72" ht="6.75" customHeight="1" x14ac:dyDescent="0.2">
      <c r="A70" s="263"/>
      <c r="B70" s="264"/>
      <c r="C70" s="266"/>
      <c r="D70" s="266"/>
      <c r="E70" s="266"/>
      <c r="F70" s="266"/>
      <c r="G70" s="269"/>
      <c r="H70" s="269"/>
      <c r="I70" s="269"/>
      <c r="J70" s="269"/>
      <c r="K70" s="269"/>
      <c r="L70" s="273"/>
      <c r="M70" s="15"/>
      <c r="O70" s="254">
        <f ca="1">IF(B73="bye to the next round",A67,IF(AND(L69&gt;L71,L69&gt;4),A67,IF(AND(L71&gt;L69,L71&gt;4),A73,IF(AND(L69=5,L71=5),MIN(A67,A73)," "))))</f>
        <v>3</v>
      </c>
      <c r="P70" s="255" t="str">
        <f ca="1">IF(O70=" "," ",IFERROR(VLOOKUP(LARGE(INDIRECT(VLOOKUP($A$5,'Start List'!$J$9:$Q$14,5,FALSE)),O70),'Start List'!$B$15:$V$139,3,FALSE),"bye to the next round"))</f>
        <v>Kocsis Mária</v>
      </c>
      <c r="Q70" s="256"/>
      <c r="R70" s="256"/>
      <c r="S70" s="256"/>
      <c r="T70" s="256"/>
      <c r="U70" s="256"/>
      <c r="V70" s="256"/>
      <c r="W70" s="256"/>
      <c r="X70" s="256"/>
      <c r="Y70" s="257"/>
      <c r="Z70" s="261" t="str">
        <f ca="1">IFERROR(VLOOKUP(LARGE(INDIRECT(VLOOKUP($A$5,'Start List'!$J$9:$Q$14,5,FALSE)),'Senior Women'!O70),'Start List'!$B$15:$V$139,7,FALSE)," ")</f>
        <v xml:space="preserve"> </v>
      </c>
      <c r="AA70" s="16"/>
      <c r="AO70" s="9"/>
      <c r="AQ70" s="254" t="str">
        <f>IF(AND(AN64&gt;AN66,AN64&gt;4),AC75,IF(AND(AN66&gt;AN64,AN66&gt;4),AC55,IF(AND(AN64=5,AN66=5),MAX(AC55,AC75)," ")))</f>
        <v xml:space="preserve"> </v>
      </c>
      <c r="AR70" s="255" t="str">
        <f ca="1">IF(AQ70=" "," ",IFERROR(VLOOKUP(LARGE(INDIRECT(VLOOKUP($A$5,'Start List'!$J$9:$Q$14,5,FALSE)),AQ70),'Start List'!$B$15:$V$139,3,FALSE),"bye to the next round"))</f>
        <v xml:space="preserve"> </v>
      </c>
      <c r="AS70" s="256"/>
      <c r="AT70" s="256"/>
      <c r="AU70" s="256"/>
      <c r="AV70" s="256"/>
      <c r="AW70" s="256"/>
      <c r="AX70" s="256"/>
      <c r="AY70" s="256"/>
      <c r="AZ70" s="256"/>
      <c r="BA70" s="257"/>
      <c r="BB70" s="261" t="str">
        <f ca="1">IFERROR(VLOOKUP(LARGE(INDIRECT(VLOOKUP($A$5,'Start List'!$J$9:$Q$14,5,FALSE)),'Senior Women'!AQ70),'Start List'!$B$15:$V$139,7,FALSE)," ")</f>
        <v xml:space="preserve"> </v>
      </c>
      <c r="BC70" s="8"/>
    </row>
    <row r="71" spans="1:72" ht="6.75" customHeight="1" thickBot="1" x14ac:dyDescent="0.25">
      <c r="A71" s="263" t="str">
        <f>VLOOKUP(VLOOKUP($A$5,'Start List'!$J$9:$Q$14,8,FALSE)&amp;A73,Data!$D$2:$H$97,2,FALSE)</f>
        <v/>
      </c>
      <c r="B71" s="264"/>
      <c r="C71" s="266"/>
      <c r="D71" s="266"/>
      <c r="E71" s="266"/>
      <c r="F71" s="266"/>
      <c r="G71" s="268">
        <f>IF(B69&lt;B71,2,IF(AND(B71=B69,B71&gt;0),1,0))</f>
        <v>0</v>
      </c>
      <c r="H71" s="268">
        <f>IF(C69&lt;C71,2,IF(AND(C71=C69,C71&gt;0),1,0))</f>
        <v>0</v>
      </c>
      <c r="I71" s="268">
        <f>IF(D69&lt;D71,2,IF(AND(D71=D69,D71&gt;0),1,0))</f>
        <v>0</v>
      </c>
      <c r="J71" s="268">
        <f>IF(E69&lt;E71,2,IF(AND(E71=E69,E71&gt;0),1,0))</f>
        <v>0</v>
      </c>
      <c r="K71" s="268">
        <f>IF(F69&lt;F71,2,IF(AND(F71=F69,F71&gt;0),1,0))</f>
        <v>0</v>
      </c>
      <c r="L71" s="272">
        <f>SUM(G71:K72)</f>
        <v>0</v>
      </c>
      <c r="M71" s="15"/>
      <c r="N71" s="10"/>
      <c r="O71" s="254"/>
      <c r="P71" s="258"/>
      <c r="Q71" s="259"/>
      <c r="R71" s="259"/>
      <c r="S71" s="259"/>
      <c r="T71" s="259"/>
      <c r="U71" s="259"/>
      <c r="V71" s="259"/>
      <c r="W71" s="259"/>
      <c r="X71" s="259"/>
      <c r="Y71" s="260"/>
      <c r="Z71" s="262"/>
      <c r="AA71" s="12"/>
      <c r="AO71" s="9"/>
      <c r="AQ71" s="254"/>
      <c r="AR71" s="258"/>
      <c r="AS71" s="259"/>
      <c r="AT71" s="259"/>
      <c r="AU71" s="259"/>
      <c r="AV71" s="259"/>
      <c r="AW71" s="259"/>
      <c r="AX71" s="259"/>
      <c r="AY71" s="259"/>
      <c r="AZ71" s="259"/>
      <c r="BA71" s="260"/>
      <c r="BB71" s="262"/>
      <c r="BC71" s="13"/>
    </row>
    <row r="72" spans="1:72" ht="6.75" customHeight="1" thickBot="1" x14ac:dyDescent="0.25">
      <c r="A72" s="263"/>
      <c r="B72" s="265"/>
      <c r="C72" s="267"/>
      <c r="D72" s="267"/>
      <c r="E72" s="267"/>
      <c r="F72" s="267"/>
      <c r="G72" s="269"/>
      <c r="H72" s="269"/>
      <c r="I72" s="269"/>
      <c r="J72" s="269"/>
      <c r="K72" s="269"/>
      <c r="L72" s="273"/>
      <c r="M72" s="15"/>
      <c r="O72" s="7"/>
      <c r="AA72" s="9"/>
      <c r="AO72" s="9"/>
    </row>
    <row r="73" spans="1:72" ht="6.75" customHeight="1" x14ac:dyDescent="0.2">
      <c r="A73" s="254">
        <v>14</v>
      </c>
      <c r="B73" s="255" t="str">
        <f ca="1">IF(A73=" "," ",IFERROR(VLOOKUP(LARGE(INDIRECT(VLOOKUP($A$5,'Start List'!$J$9:$Q$14,5,FALSE)),A73),'Start List'!$B$15:$V$139,3,FALSE),"bye to the next round"))</f>
        <v>bye to the next round</v>
      </c>
      <c r="C73" s="256"/>
      <c r="D73" s="256"/>
      <c r="E73" s="256"/>
      <c r="F73" s="256"/>
      <c r="G73" s="256"/>
      <c r="H73" s="256"/>
      <c r="I73" s="256"/>
      <c r="J73" s="256"/>
      <c r="K73" s="257"/>
      <c r="L73" s="261" t="str">
        <f ca="1">IFERROR(VLOOKUP(LARGE(INDIRECT(VLOOKUP($A$5,'Start List'!$J$9:$Q$14,5,FALSE)),'Senior Women'!A73),'Start List'!$B$15:$V$139,7,FALSE)," ")</f>
        <v xml:space="preserve"> </v>
      </c>
      <c r="M73" s="8"/>
      <c r="O73" s="7"/>
      <c r="AA73" s="9"/>
      <c r="AO73" s="9"/>
      <c r="BM73" s="200">
        <v>1</v>
      </c>
      <c r="BN73" s="200" t="str">
        <f ca="1">IF($BF$42&lt;&gt;" ",VLOOKUP(LARGE(INDIRECT(VLOOKUP($A$5,'Start List'!$J$9:$Q$14,5,FALSE)),BO73),'Start List'!$B$15:$V$139,3,FALSE),"")</f>
        <v/>
      </c>
      <c r="BO73" s="201" t="str">
        <f>BE25</f>
        <v xml:space="preserve"> </v>
      </c>
      <c r="BP73" s="202" t="e">
        <f t="shared" ref="BP73:BP88" si="1">VLOOKUP(BO73,$BM$50:$BP$65,2,FALSE)</f>
        <v>#N/A</v>
      </c>
      <c r="BQ73" s="202" t="e">
        <f t="shared" ref="BQ73:BQ80" si="2">VLOOKUP(BO73,$BM$50:$BP$65,3,FALSE)</f>
        <v>#N/A</v>
      </c>
      <c r="BR73" s="202" t="e">
        <f>VLOOKUP(BO73,$BM$50:$BP$65,4,FALSE)</f>
        <v>#N/A</v>
      </c>
      <c r="BS73" s="200" t="str">
        <f>LARGE($BB$24:$BB$27,1)&amp;":"&amp;SMALL($BB$24:$BB$27,1)</f>
        <v>0:0</v>
      </c>
      <c r="BT73" s="200"/>
    </row>
    <row r="74" spans="1:72" ht="6.75" customHeight="1" thickBot="1" x14ac:dyDescent="0.25">
      <c r="A74" s="254"/>
      <c r="B74" s="258"/>
      <c r="C74" s="259"/>
      <c r="D74" s="259"/>
      <c r="E74" s="259"/>
      <c r="F74" s="259"/>
      <c r="G74" s="259"/>
      <c r="H74" s="259"/>
      <c r="I74" s="259"/>
      <c r="J74" s="259"/>
      <c r="K74" s="260"/>
      <c r="L74" s="262"/>
      <c r="M74" s="13"/>
      <c r="O74" s="263" t="str">
        <f>VLOOKUP(VLOOKUP($A$5,'Start List'!$J$9:$Q$14,8,FALSE)&amp;A67,Data!$D$2:$H$97,3,FALSE)</f>
        <v/>
      </c>
      <c r="P74" s="266"/>
      <c r="Q74" s="266"/>
      <c r="R74" s="266"/>
      <c r="S74" s="266"/>
      <c r="T74" s="266"/>
      <c r="U74" s="269">
        <f>IF(P74&gt;P76,2,IF(AND(P76=P74,P74&gt;0),1,0))</f>
        <v>0</v>
      </c>
      <c r="V74" s="269">
        <f>IF(Q74&gt;Q76,2,IF(AND(Q76=Q74,Q74&gt;0),1,0))</f>
        <v>0</v>
      </c>
      <c r="W74" s="269">
        <f>IF(R74&gt;R76,2,IF(AND(R76=R74,R74&gt;0),1,0))</f>
        <v>0</v>
      </c>
      <c r="X74" s="269">
        <f>IF(S74&gt;S76,2,IF(AND(S76=S74,S74&gt;0),1,0))</f>
        <v>0</v>
      </c>
      <c r="Y74" s="269">
        <f>IF(T74&gt;T76,2,IF(AND(T76=T74,T74&gt;0),1,0))</f>
        <v>0</v>
      </c>
      <c r="Z74" s="277">
        <f>SUM(U74:Y75)</f>
        <v>0</v>
      </c>
      <c r="AA74" s="9"/>
      <c r="AO74" s="9"/>
      <c r="BM74" s="200">
        <v>2</v>
      </c>
      <c r="BN74" s="200" t="str">
        <f ca="1">IF($BF$42&lt;&gt;" ",VLOOKUP(LARGE(INDIRECT(VLOOKUP($A$5,'Start List'!$J$9:$Q$14,5,FALSE)),BO74),'Start List'!$B$15:$V$139,3,FALSE),"")</f>
        <v/>
      </c>
      <c r="BO74" s="201" t="str">
        <f>IF(AQ20=BE25,AQ30,AQ20)</f>
        <v xml:space="preserve"> </v>
      </c>
      <c r="BP74" s="202" t="e">
        <f t="shared" si="1"/>
        <v>#N/A</v>
      </c>
      <c r="BQ74" s="202" t="e">
        <f t="shared" si="2"/>
        <v>#N/A</v>
      </c>
      <c r="BR74" s="202" t="e">
        <f t="shared" ref="BR74:BR76" si="3">VLOOKUP(BO74,$BM$50:$BP$65,4,FALSE)</f>
        <v>#N/A</v>
      </c>
      <c r="BS74" s="200" t="str">
        <f>SMALL($BB$24:$BB$27,1)&amp;":"&amp;LARGE($BB$24:$BB$27,1)</f>
        <v>0:0</v>
      </c>
      <c r="BT74" s="200"/>
    </row>
    <row r="75" spans="1:72" ht="6.75" customHeight="1" x14ac:dyDescent="0.2">
      <c r="A75" s="30"/>
      <c r="O75" s="263"/>
      <c r="P75" s="266"/>
      <c r="Q75" s="266"/>
      <c r="R75" s="266"/>
      <c r="S75" s="266"/>
      <c r="T75" s="266"/>
      <c r="U75" s="269"/>
      <c r="V75" s="269"/>
      <c r="W75" s="269"/>
      <c r="X75" s="269"/>
      <c r="Y75" s="269"/>
      <c r="Z75" s="277"/>
      <c r="AA75" s="9"/>
      <c r="AC75" s="254">
        <f ca="1">IF(P80="bye to the next round",O70,IF(AND(Z74&gt;Z76,Z74&gt;4),O70,IF(AND(Z76&gt;Z74,Z76&gt;4),O80,IF(AND(Z74=5,Z76=5),MIN(O70,O80)," "))))</f>
        <v>3</v>
      </c>
      <c r="AD75" s="292" t="str">
        <f ca="1">IF(AC75=" "," ",IFERROR(VLOOKUP(LARGE(INDIRECT(VLOOKUP($A$5,'Start List'!$J$9:$Q$14,5,FALSE)),AC75),'Start List'!$B$15:$V$139,3,FALSE),"bye to the next round"))</f>
        <v>Kocsis Mária</v>
      </c>
      <c r="AE75" s="293"/>
      <c r="AF75" s="293"/>
      <c r="AG75" s="293"/>
      <c r="AH75" s="293"/>
      <c r="AI75" s="293"/>
      <c r="AJ75" s="293"/>
      <c r="AK75" s="293"/>
      <c r="AL75" s="293"/>
      <c r="AM75" s="294"/>
      <c r="AN75" s="261" t="str">
        <f ca="1">IFERROR(VLOOKUP(LARGE(INDIRECT(VLOOKUP($A$5,'Start List'!$J$9:$Q$14,5,FALSE)),'Senior Women'!AC75),'Start List'!$B$15:$V$139,7,FALSE)," ")</f>
        <v xml:space="preserve"> </v>
      </c>
      <c r="AO75" s="8"/>
      <c r="BM75" s="200">
        <v>3</v>
      </c>
      <c r="BN75" s="200" t="str">
        <f ca="1">IF($BF$42&lt;&gt;" ",VLOOKUP(LARGE(INDIRECT(VLOOKUP($A$5,'Start List'!$J$9:$Q$14,5,FALSE)),BO75),'Start List'!$B$15:$V$139,3,FALSE),"")</f>
        <v/>
      </c>
      <c r="BO75" s="201" t="str">
        <f>BE65</f>
        <v xml:space="preserve"> </v>
      </c>
      <c r="BP75" s="202" t="e">
        <f t="shared" si="1"/>
        <v>#N/A</v>
      </c>
      <c r="BQ75" s="202" t="e">
        <f t="shared" si="2"/>
        <v>#N/A</v>
      </c>
      <c r="BR75" s="202" t="e">
        <f t="shared" si="3"/>
        <v>#N/A</v>
      </c>
      <c r="BS75" s="200" t="str">
        <f>LARGE($BB$64:$BB$67,1)&amp;":"&amp;SMALL($BB$64:$BB$67,1)</f>
        <v>0:0</v>
      </c>
      <c r="BT75" s="200"/>
    </row>
    <row r="76" spans="1:72" ht="6.75" customHeight="1" thickBot="1" x14ac:dyDescent="0.25">
      <c r="A76" s="29"/>
      <c r="B76" s="29"/>
      <c r="C76" s="29"/>
      <c r="D76" s="29"/>
      <c r="E76" s="29"/>
      <c r="F76" s="29"/>
      <c r="G76" s="29"/>
      <c r="H76" s="29"/>
      <c r="I76" s="29"/>
      <c r="J76" s="29"/>
      <c r="K76" s="29"/>
      <c r="L76" s="29"/>
      <c r="M76" s="29"/>
      <c r="N76" s="29"/>
      <c r="O76" s="263" t="str">
        <f>VLOOKUP(VLOOKUP($A$5,'Start List'!$J$9:$Q$14,8,FALSE)&amp;A83,Data!$D$2:$H$97,3,FALSE)</f>
        <v/>
      </c>
      <c r="P76" s="266"/>
      <c r="Q76" s="266"/>
      <c r="R76" s="266"/>
      <c r="S76" s="266"/>
      <c r="T76" s="266"/>
      <c r="U76" s="269">
        <f>IF(P74&lt;P76,2,IF(AND(P76=P74,P76&gt;0),1,0))</f>
        <v>0</v>
      </c>
      <c r="V76" s="269">
        <f>IF(Q74&lt;Q76,2,IF(AND(Q76=Q74,Q76&gt;0),1,0))</f>
        <v>0</v>
      </c>
      <c r="W76" s="269">
        <f>IF(R74&lt;R76,2,IF(AND(R76=R74,R76&gt;0),1,0))</f>
        <v>0</v>
      </c>
      <c r="X76" s="269">
        <f>IF(S74&lt;S76,2,IF(AND(S76=S74,S76&gt;0),1,0))</f>
        <v>0</v>
      </c>
      <c r="Y76" s="269">
        <f>IF(T74&lt;T76,2,IF(AND(T76=T74,T76&gt;0),1,0))</f>
        <v>0</v>
      </c>
      <c r="Z76" s="277">
        <f>SUM(U76:Y77)</f>
        <v>0</v>
      </c>
      <c r="AA76" s="17"/>
      <c r="AB76" s="19"/>
      <c r="AC76" s="254"/>
      <c r="AD76" s="295"/>
      <c r="AE76" s="296"/>
      <c r="AF76" s="296"/>
      <c r="AG76" s="296"/>
      <c r="AH76" s="296"/>
      <c r="AI76" s="296"/>
      <c r="AJ76" s="296"/>
      <c r="AK76" s="296"/>
      <c r="AL76" s="296"/>
      <c r="AM76" s="297"/>
      <c r="AN76" s="262"/>
      <c r="AO76" s="13"/>
      <c r="BM76" s="200">
        <v>4</v>
      </c>
      <c r="BN76" s="200" t="str">
        <f ca="1">IF($BF$42&lt;&gt;" ",VLOOKUP(LARGE(INDIRECT(VLOOKUP($A$5,'Start List'!$J$9:$Q$14,5,FALSE)),BO76),'Start List'!$B$15:$V$139,3,FALSE),"")</f>
        <v/>
      </c>
      <c r="BO76" s="201" t="str">
        <f>IF(AQ60=BE65,AQ70,AQ60)</f>
        <v xml:space="preserve"> </v>
      </c>
      <c r="BP76" s="202" t="e">
        <f t="shared" si="1"/>
        <v>#N/A</v>
      </c>
      <c r="BQ76" s="202" t="e">
        <f t="shared" si="2"/>
        <v>#N/A</v>
      </c>
      <c r="BR76" s="202" t="e">
        <f t="shared" si="3"/>
        <v>#N/A</v>
      </c>
      <c r="BS76" s="200" t="str">
        <f>SMALL($BB$64:$BB$67,1)&amp;":"&amp;LARGE($BB$64:$BB$67,1)</f>
        <v>0:0</v>
      </c>
      <c r="BT76" s="200"/>
    </row>
    <row r="77" spans="1:72" ht="6.75" customHeight="1" x14ac:dyDescent="0.2">
      <c r="A77" s="254">
        <v>6</v>
      </c>
      <c r="B77" s="255" t="str">
        <f ca="1">IF(A77=" "," ",IFERROR(VLOOKUP(LARGE(INDIRECT(VLOOKUP($A$5,'Start List'!$J$9:$Q$14,5,FALSE)),A77),'Start List'!$B$15:$V$139,3,FALSE),"bye to the next round"))</f>
        <v>bye to the next round</v>
      </c>
      <c r="C77" s="256"/>
      <c r="D77" s="256"/>
      <c r="E77" s="256"/>
      <c r="F77" s="256"/>
      <c r="G77" s="256"/>
      <c r="H77" s="256"/>
      <c r="I77" s="256"/>
      <c r="J77" s="256"/>
      <c r="K77" s="257"/>
      <c r="L77" s="261" t="str">
        <f ca="1">IFERROR(VLOOKUP(LARGE(INDIRECT(VLOOKUP($A$5,'Start List'!$J$9:$Q$14,5,FALSE)),'Senior Women'!A77),'Start List'!$B$15:$V$139,7,FALSE)," ")</f>
        <v xml:space="preserve"> </v>
      </c>
      <c r="M77" s="2"/>
      <c r="N77" s="5"/>
      <c r="O77" s="263"/>
      <c r="P77" s="266"/>
      <c r="Q77" s="266"/>
      <c r="R77" s="266"/>
      <c r="S77" s="266"/>
      <c r="T77" s="266"/>
      <c r="U77" s="269"/>
      <c r="V77" s="269"/>
      <c r="W77" s="269"/>
      <c r="X77" s="269"/>
      <c r="Y77" s="269"/>
      <c r="Z77" s="277"/>
      <c r="AA77" s="18"/>
      <c r="AB77" s="1"/>
      <c r="AN77" s="27"/>
      <c r="AO77" s="298"/>
      <c r="AP77" s="298"/>
      <c r="BM77" s="204">
        <v>5</v>
      </c>
      <c r="BN77" s="200" t="str">
        <f ca="1">IF($BF$42&lt;&gt;" ",VLOOKUP(LARGE(INDIRECT(VLOOKUP($A$5,'Start List'!$J$9:$Q$14,5,FALSE)),BO77),'Start List'!$B$15:$V$139,3,FALSE),"")</f>
        <v/>
      </c>
      <c r="BO77" s="202">
        <f ca="1">SMALL($BT$77:$BT$80,1)</f>
        <v>5</v>
      </c>
      <c r="BP77" s="202" t="str">
        <f t="shared" ca="1" si="1"/>
        <v>0:0</v>
      </c>
      <c r="BQ77" s="202" t="str">
        <f t="shared" ca="1" si="2"/>
        <v>0:0</v>
      </c>
      <c r="BR77" s="200" t="str">
        <f>""</f>
        <v/>
      </c>
      <c r="BS77" s="200" t="str">
        <f>""</f>
        <v/>
      </c>
      <c r="BT77" s="202">
        <f ca="1">IF(O10=AC15,O20,O10)</f>
        <v>8</v>
      </c>
    </row>
    <row r="78" spans="1:72" ht="6.75" customHeight="1" thickBot="1" x14ac:dyDescent="0.25">
      <c r="A78" s="270"/>
      <c r="B78" s="258"/>
      <c r="C78" s="259"/>
      <c r="D78" s="259"/>
      <c r="E78" s="259"/>
      <c r="F78" s="259"/>
      <c r="G78" s="259"/>
      <c r="H78" s="259"/>
      <c r="I78" s="259"/>
      <c r="J78" s="259"/>
      <c r="K78" s="260"/>
      <c r="L78" s="262"/>
      <c r="M78" s="14"/>
      <c r="AA78" s="9"/>
      <c r="AN78" s="23"/>
      <c r="AO78" s="298"/>
      <c r="AP78" s="298"/>
      <c r="BM78" s="200">
        <v>6</v>
      </c>
      <c r="BN78" s="200" t="str">
        <f ca="1">IF($BF$42&lt;&gt;" ",VLOOKUP(LARGE(INDIRECT(VLOOKUP($A$5,'Start List'!$J$9:$Q$14,5,FALSE)),BO78),'Start List'!$B$15:$V$139,3,FALSE),"")</f>
        <v/>
      </c>
      <c r="BO78" s="202">
        <f ca="1">SMALL($BT$77:$BT$80,2)</f>
        <v>6</v>
      </c>
      <c r="BP78" s="202" t="str">
        <f t="shared" ca="1" si="1"/>
        <v>0:0</v>
      </c>
      <c r="BQ78" s="202" t="str">
        <f t="shared" ca="1" si="2"/>
        <v>0:0</v>
      </c>
      <c r="BR78" s="200" t="str">
        <f>""</f>
        <v/>
      </c>
      <c r="BS78" s="200" t="str">
        <f>""</f>
        <v/>
      </c>
      <c r="BT78" s="200">
        <f ca="1">IF(O30=AC35,O40,O30)</f>
        <v>5</v>
      </c>
    </row>
    <row r="79" spans="1:72" ht="6.75" customHeight="1" thickBot="1" x14ac:dyDescent="0.25">
      <c r="A79" s="263" t="str">
        <f>VLOOKUP(VLOOKUP($A$5,'Start List'!$J$9:$Q$14,8,FALSE)&amp;A77,Data!$D$2:$H$97,2,FALSE)</f>
        <v/>
      </c>
      <c r="B79" s="274"/>
      <c r="C79" s="271"/>
      <c r="D79" s="271"/>
      <c r="E79" s="271"/>
      <c r="F79" s="271"/>
      <c r="G79" s="268">
        <f>IF(B79&gt;B81,2,IF(AND(B81=B79,B79&gt;0),1,0))</f>
        <v>0</v>
      </c>
      <c r="H79" s="268">
        <f>IF(C79&gt;C81,2,IF(AND(C81=C79,C79&gt;0),1,0))</f>
        <v>0</v>
      </c>
      <c r="I79" s="268">
        <f>IF(D79&gt;D81,2,IF(AND(D81=D79,D79&gt;0),1,0))</f>
        <v>0</v>
      </c>
      <c r="J79" s="268">
        <f>IF(E79&gt;E81,2,IF(AND(E81=E79,E79&gt;0),1,0))</f>
        <v>0</v>
      </c>
      <c r="K79" s="268">
        <f>IF(F79&gt;F81,2,IF(AND(F81=F79,F79&gt;0),1,0))</f>
        <v>0</v>
      </c>
      <c r="L79" s="272">
        <f>SUM(G79:K80)</f>
        <v>0</v>
      </c>
      <c r="M79" s="9"/>
      <c r="AA79" s="9"/>
      <c r="AN79" s="23"/>
      <c r="AO79" s="298"/>
      <c r="AP79" s="298"/>
      <c r="BM79" s="200">
        <v>7</v>
      </c>
      <c r="BN79" s="200" t="str">
        <f ca="1">IF($BF$42&lt;&gt;" ",VLOOKUP(LARGE(INDIRECT(VLOOKUP($A$5,'Start List'!$J$9:$Q$14,5,FALSE)),BO79),'Start List'!$B$15:$V$139,3,FALSE),"")</f>
        <v/>
      </c>
      <c r="BO79" s="202">
        <f ca="1">SMALL($BT$77:$BT$80,3)</f>
        <v>7</v>
      </c>
      <c r="BP79" s="202" t="str">
        <f t="shared" ca="1" si="1"/>
        <v>0:0</v>
      </c>
      <c r="BQ79" s="202" t="str">
        <f t="shared" ca="1" si="2"/>
        <v>0:0</v>
      </c>
      <c r="BR79" s="200" t="str">
        <f>""</f>
        <v/>
      </c>
      <c r="BS79" s="200" t="str">
        <f>""</f>
        <v/>
      </c>
      <c r="BT79" s="200">
        <f ca="1">IF(O50=AC55,O60,O50)</f>
        <v>7</v>
      </c>
    </row>
    <row r="80" spans="1:72" ht="6.75" customHeight="1" x14ac:dyDescent="0.2">
      <c r="A80" s="263"/>
      <c r="B80" s="264"/>
      <c r="C80" s="266"/>
      <c r="D80" s="266"/>
      <c r="E80" s="266"/>
      <c r="F80" s="266"/>
      <c r="G80" s="269"/>
      <c r="H80" s="269"/>
      <c r="I80" s="269"/>
      <c r="J80" s="269"/>
      <c r="K80" s="269"/>
      <c r="L80" s="273"/>
      <c r="M80" s="15"/>
      <c r="O80" s="254">
        <f ca="1">IF(B83="bye to the next round",A77,IF(AND(L79&gt;L81,L79&gt;4),A77,IF(AND(L81&gt;L79,L81&gt;4),A83,IF(AND(L79=5,L81=5),MIN(A77,A83)," "))))</f>
        <v>6</v>
      </c>
      <c r="P80" s="255" t="str">
        <f ca="1">IF(O80=" "," ",IFERROR(VLOOKUP(LARGE(INDIRECT(VLOOKUP($A$5,'Start List'!$J$9:$Q$14,5,FALSE)),O80),'Start List'!$B$15:$V$139,3,FALSE),"bye to the next round"))</f>
        <v>bye to the next round</v>
      </c>
      <c r="Q80" s="256"/>
      <c r="R80" s="256"/>
      <c r="S80" s="256"/>
      <c r="T80" s="256"/>
      <c r="U80" s="256"/>
      <c r="V80" s="256"/>
      <c r="W80" s="256"/>
      <c r="X80" s="256"/>
      <c r="Y80" s="257"/>
      <c r="Z80" s="261" t="str">
        <f ca="1">IFERROR(VLOOKUP(LARGE(INDIRECT(VLOOKUP($A$5,'Start List'!$J$9:$Q$14,5,FALSE)),'Senior Women'!O80),'Start List'!$B$15:$V$139,7,FALSE)," ")</f>
        <v xml:space="preserve"> </v>
      </c>
      <c r="AA80" s="8"/>
      <c r="AN80" s="23"/>
      <c r="AO80" s="298"/>
      <c r="AP80" s="298"/>
      <c r="BM80" s="200">
        <v>8</v>
      </c>
      <c r="BN80" s="200" t="str">
        <f ca="1">IF($BF$42&lt;&gt;" ",VLOOKUP(LARGE(INDIRECT(VLOOKUP($A$5,'Start List'!$J$9:$Q$14,5,FALSE)),BO80),'Start List'!$B$15:$V$139,3,FALSE),"")</f>
        <v/>
      </c>
      <c r="BO80" s="202">
        <f ca="1">SMALL($BT$77:$BT$80,4)</f>
        <v>8</v>
      </c>
      <c r="BP80" s="202" t="str">
        <f t="shared" ca="1" si="1"/>
        <v>0:0</v>
      </c>
      <c r="BQ80" s="202" t="str">
        <f t="shared" ca="1" si="2"/>
        <v>0:0</v>
      </c>
      <c r="BR80" s="200" t="str">
        <f>""</f>
        <v/>
      </c>
      <c r="BS80" s="200" t="str">
        <f>""</f>
        <v/>
      </c>
      <c r="BT80" s="200">
        <f ca="1">IF(O70=AC75,O80,O70)</f>
        <v>6</v>
      </c>
    </row>
    <row r="81" spans="1:72" ht="6.75" customHeight="1" thickBot="1" x14ac:dyDescent="0.25">
      <c r="A81" s="263" t="str">
        <f>VLOOKUP(VLOOKUP($A$5,'Start List'!$J$9:$Q$14,8,FALSE)&amp;A83,Data!$D$2:$H$97,2,FALSE)</f>
        <v/>
      </c>
      <c r="B81" s="264"/>
      <c r="C81" s="266"/>
      <c r="D81" s="266"/>
      <c r="E81" s="266"/>
      <c r="F81" s="266"/>
      <c r="G81" s="268">
        <f>IF(B79&lt;B81,2,IF(AND(B81=B79,B81&gt;0),1,0))</f>
        <v>0</v>
      </c>
      <c r="H81" s="268">
        <f>IF(C79&lt;C81,2,IF(AND(C81=C79,C81&gt;0),1,0))</f>
        <v>0</v>
      </c>
      <c r="I81" s="268">
        <f>IF(D79&lt;D81,2,IF(AND(D81=D79,D81&gt;0),1,0))</f>
        <v>0</v>
      </c>
      <c r="J81" s="268">
        <f>IF(E79&lt;E81,2,IF(AND(E81=E79,E81&gt;0),1,0))</f>
        <v>0</v>
      </c>
      <c r="K81" s="268">
        <f>IF(F79&lt;F81,2,IF(AND(F81=F79,F81&gt;0),1,0))</f>
        <v>0</v>
      </c>
      <c r="L81" s="272">
        <f>SUM(G81:K82)</f>
        <v>0</v>
      </c>
      <c r="M81" s="15"/>
      <c r="N81" s="10"/>
      <c r="O81" s="254"/>
      <c r="P81" s="258"/>
      <c r="Q81" s="259"/>
      <c r="R81" s="259"/>
      <c r="S81" s="259"/>
      <c r="T81" s="259"/>
      <c r="U81" s="259"/>
      <c r="V81" s="259"/>
      <c r="W81" s="259"/>
      <c r="X81" s="259"/>
      <c r="Y81" s="260"/>
      <c r="Z81" s="262"/>
      <c r="AA81" s="13"/>
      <c r="AN81" s="23"/>
      <c r="AO81" s="298"/>
      <c r="AP81" s="298"/>
      <c r="BM81" s="200">
        <v>9</v>
      </c>
      <c r="BN81" s="200" t="str">
        <f ca="1">IF($BF$42&lt;&gt;" ",VLOOKUP(LARGE(INDIRECT(VLOOKUP($A$5,'Start List'!$J$9:$Q$14,5,FALSE)),BO81),'Start List'!$B$15:$V$139,3,FALSE),"")</f>
        <v/>
      </c>
      <c r="BO81" s="200">
        <f t="shared" ref="BO81:BO88" ca="1" si="4">SMALL($BT$81:$BT$88,BM50)</f>
        <v>9</v>
      </c>
      <c r="BP81" s="202" t="str">
        <f t="shared" ca="1" si="1"/>
        <v>0:0</v>
      </c>
      <c r="BQ81" s="200" t="str">
        <f>""</f>
        <v/>
      </c>
      <c r="BR81" s="200" t="str">
        <f>""</f>
        <v/>
      </c>
      <c r="BS81" s="200" t="str">
        <f>""</f>
        <v/>
      </c>
      <c r="BT81" s="200">
        <f ca="1">IF(A7=O10,A13,A7)</f>
        <v>16</v>
      </c>
    </row>
    <row r="82" spans="1:72" ht="6.75" customHeight="1" thickBot="1" x14ac:dyDescent="0.25">
      <c r="A82" s="263"/>
      <c r="B82" s="265"/>
      <c r="C82" s="267"/>
      <c r="D82" s="267"/>
      <c r="E82" s="267"/>
      <c r="F82" s="267"/>
      <c r="G82" s="269"/>
      <c r="H82" s="269"/>
      <c r="I82" s="269"/>
      <c r="J82" s="269"/>
      <c r="K82" s="269"/>
      <c r="L82" s="273"/>
      <c r="M82" s="15"/>
      <c r="O82" s="7"/>
      <c r="AN82" s="23"/>
      <c r="AO82" s="298"/>
      <c r="AP82" s="298"/>
      <c r="BM82" s="200">
        <v>10</v>
      </c>
      <c r="BN82" s="200" t="str">
        <f ca="1">IF($BF$42&lt;&gt;" ",VLOOKUP(LARGE(INDIRECT(VLOOKUP($A$5,'Start List'!$J$9:$Q$14,5,FALSE)),BO82),'Start List'!$B$15:$V$139,3,FALSE),"")</f>
        <v/>
      </c>
      <c r="BO82" s="200">
        <f t="shared" ca="1" si="4"/>
        <v>10</v>
      </c>
      <c r="BP82" s="202" t="str">
        <f t="shared" ca="1" si="1"/>
        <v>0:0</v>
      </c>
      <c r="BQ82" s="200" t="str">
        <f>""</f>
        <v/>
      </c>
      <c r="BR82" s="200" t="str">
        <f>""</f>
        <v/>
      </c>
      <c r="BS82" s="200" t="str">
        <f>""</f>
        <v/>
      </c>
      <c r="BT82" s="200">
        <f ca="1">IF(A17=O20,A23,A17)</f>
        <v>9</v>
      </c>
    </row>
    <row r="83" spans="1:72" ht="6.75" customHeight="1" x14ac:dyDescent="0.2">
      <c r="A83" s="254">
        <v>11</v>
      </c>
      <c r="B83" s="255" t="str">
        <f ca="1">IF(A83=" "," ",IFERROR(VLOOKUP(LARGE(INDIRECT(VLOOKUP($A$5,'Start List'!$J$9:$Q$14,5,FALSE)),A83),'Start List'!$B$15:$V$139,3,FALSE),"bye to the next round"))</f>
        <v>bye to the next round</v>
      </c>
      <c r="C83" s="256"/>
      <c r="D83" s="256"/>
      <c r="E83" s="256"/>
      <c r="F83" s="256"/>
      <c r="G83" s="256"/>
      <c r="H83" s="256"/>
      <c r="I83" s="256"/>
      <c r="J83" s="256"/>
      <c r="K83" s="257"/>
      <c r="L83" s="261" t="str">
        <f ca="1">IFERROR(VLOOKUP(LARGE(INDIRECT(VLOOKUP($A$5,'Start List'!$J$9:$Q$14,5,FALSE)),'Senior Women'!A83),'Start List'!$B$15:$V$139,7,FALSE)," ")</f>
        <v xml:space="preserve"> </v>
      </c>
      <c r="M83" s="8"/>
      <c r="O83" s="7"/>
      <c r="AN83" s="23"/>
      <c r="AO83" s="298"/>
      <c r="AP83" s="298"/>
      <c r="BM83" s="200">
        <v>11</v>
      </c>
      <c r="BN83" s="200" t="str">
        <f ca="1">IF($BF$42&lt;&gt;" ",VLOOKUP(LARGE(INDIRECT(VLOOKUP($A$5,'Start List'!$J$9:$Q$14,5,FALSE)),BO83),'Start List'!$B$15:$V$139,3,FALSE),"")</f>
        <v/>
      </c>
      <c r="BO83" s="200">
        <f t="shared" ca="1" si="4"/>
        <v>11</v>
      </c>
      <c r="BP83" s="202" t="str">
        <f t="shared" ca="1" si="1"/>
        <v>0:0</v>
      </c>
      <c r="BQ83" s="200" t="str">
        <f>""</f>
        <v/>
      </c>
      <c r="BR83" s="200" t="str">
        <f>""</f>
        <v/>
      </c>
      <c r="BS83" s="200" t="str">
        <f>""</f>
        <v/>
      </c>
      <c r="BT83" s="200">
        <f ca="1">IF(A27=O30,A33,A27)</f>
        <v>13</v>
      </c>
    </row>
    <row r="84" spans="1:72" ht="6.75" customHeight="1" thickBot="1" x14ac:dyDescent="0.25">
      <c r="A84" s="254"/>
      <c r="B84" s="258"/>
      <c r="C84" s="259"/>
      <c r="D84" s="259"/>
      <c r="E84" s="259"/>
      <c r="F84" s="259"/>
      <c r="G84" s="259"/>
      <c r="H84" s="259"/>
      <c r="I84" s="259"/>
      <c r="J84" s="259"/>
      <c r="K84" s="260"/>
      <c r="L84" s="262"/>
      <c r="M84" s="13"/>
      <c r="AN84" s="23"/>
      <c r="AO84" s="298"/>
      <c r="AP84" s="298"/>
      <c r="BM84" s="200">
        <v>12</v>
      </c>
      <c r="BN84" s="200" t="str">
        <f ca="1">IF($BF$42&lt;&gt;" ",VLOOKUP(LARGE(INDIRECT(VLOOKUP($A$5,'Start List'!$J$9:$Q$14,5,FALSE)),BO84),'Start List'!$B$15:$V$139,3,FALSE),"")</f>
        <v/>
      </c>
      <c r="BO84" s="200">
        <f t="shared" ca="1" si="4"/>
        <v>12</v>
      </c>
      <c r="BP84" s="202" t="str">
        <f t="shared" ca="1" si="1"/>
        <v>0:0</v>
      </c>
      <c r="BQ84" s="200" t="str">
        <f>""</f>
        <v/>
      </c>
      <c r="BR84" s="200" t="str">
        <f>""</f>
        <v/>
      </c>
      <c r="BS84" s="200" t="str">
        <f>""</f>
        <v/>
      </c>
      <c r="BT84" s="200">
        <f ca="1">IF(A37=O40,A43,A37)</f>
        <v>12</v>
      </c>
    </row>
    <row r="85" spans="1:72" ht="6.75" customHeight="1" x14ac:dyDescent="0.2">
      <c r="A85" s="30"/>
      <c r="AN85" s="23"/>
      <c r="AO85" s="34"/>
      <c r="AP85" s="34"/>
      <c r="BM85" s="200">
        <v>13</v>
      </c>
      <c r="BN85" s="200" t="str">
        <f ca="1">IF($BF$42&lt;&gt;" ",VLOOKUP(LARGE(INDIRECT(VLOOKUP($A$5,'Start List'!$J$9:$Q$14,5,FALSE)),BO85),'Start List'!$B$15:$V$139,3,FALSE),"")</f>
        <v/>
      </c>
      <c r="BO85" s="200">
        <f t="shared" ca="1" si="4"/>
        <v>13</v>
      </c>
      <c r="BP85" s="202" t="str">
        <f t="shared" ca="1" si="1"/>
        <v>0:0</v>
      </c>
      <c r="BQ85" s="200" t="str">
        <f>""</f>
        <v/>
      </c>
      <c r="BR85" s="200" t="str">
        <f>""</f>
        <v/>
      </c>
      <c r="BS85" s="200" t="str">
        <f>""</f>
        <v/>
      </c>
      <c r="BT85" s="200">
        <f ca="1">IF(A47=O50,A53,A47)</f>
        <v>15</v>
      </c>
    </row>
    <row r="86" spans="1:72" ht="6.75" customHeight="1" x14ac:dyDescent="0.2">
      <c r="A86" s="31"/>
      <c r="B86" s="7"/>
      <c r="C86" s="7"/>
      <c r="D86" s="7"/>
      <c r="E86" s="7"/>
      <c r="F86" s="7"/>
      <c r="G86" s="7"/>
      <c r="H86" s="7"/>
      <c r="I86" s="7"/>
      <c r="J86" s="7"/>
      <c r="K86" s="7"/>
      <c r="L86" s="7"/>
      <c r="O86" s="7"/>
      <c r="AA86" s="23"/>
      <c r="AB86" s="34"/>
      <c r="AC86" s="34"/>
      <c r="BM86" s="11">
        <v>14</v>
      </c>
      <c r="BN86" s="200" t="str">
        <f ca="1">IF($BF$42&lt;&gt;" ",VLOOKUP(LARGE(INDIRECT(VLOOKUP($A$5,'Start List'!$J$9:$Q$14,5,FALSE)),BO86),'Start List'!$B$15:$V$139,3,FALSE),"")</f>
        <v/>
      </c>
      <c r="BO86" s="200">
        <f t="shared" ca="1" si="4"/>
        <v>14</v>
      </c>
      <c r="BP86" s="202" t="str">
        <f t="shared" ca="1" si="1"/>
        <v>0:0</v>
      </c>
      <c r="BQ86" s="200" t="str">
        <f>""</f>
        <v/>
      </c>
      <c r="BR86" s="200" t="str">
        <f>""</f>
        <v/>
      </c>
      <c r="BS86" s="200" t="str">
        <f>""</f>
        <v/>
      </c>
      <c r="BT86" s="203">
        <f ca="1">IF(A57=O60,A63,A57)</f>
        <v>10</v>
      </c>
    </row>
    <row r="87" spans="1:72" ht="6.75" customHeight="1" x14ac:dyDescent="0.2">
      <c r="A87" s="23"/>
      <c r="B87" s="3"/>
      <c r="C87" s="7"/>
      <c r="D87" s="7"/>
      <c r="E87" s="7"/>
      <c r="F87" s="7"/>
      <c r="G87" s="7"/>
      <c r="H87" s="7"/>
      <c r="I87" s="7"/>
      <c r="J87" s="7"/>
      <c r="K87" s="7"/>
      <c r="L87" s="7"/>
      <c r="O87" s="7"/>
      <c r="BM87" s="193">
        <v>15</v>
      </c>
      <c r="BN87" s="200" t="str">
        <f ca="1">IF($BF$42&lt;&gt;" ",VLOOKUP(LARGE(INDIRECT(VLOOKUP($A$5,'Start List'!$J$9:$Q$14,5,FALSE)),BO87),'Start List'!$B$15:$V$139,3,FALSE),"")</f>
        <v/>
      </c>
      <c r="BO87" s="200">
        <f t="shared" ca="1" si="4"/>
        <v>15</v>
      </c>
      <c r="BP87" s="202" t="str">
        <f t="shared" ca="1" si="1"/>
        <v>0:0</v>
      </c>
      <c r="BQ87" s="200" t="str">
        <f>""</f>
        <v/>
      </c>
      <c r="BR87" s="200" t="str">
        <f>""</f>
        <v/>
      </c>
      <c r="BS87" s="200" t="str">
        <f>""</f>
        <v/>
      </c>
      <c r="BT87" s="200">
        <f ca="1">IF(A67=O70,A73,A67)</f>
        <v>14</v>
      </c>
    </row>
    <row r="88" spans="1:72" ht="6.75" customHeight="1" x14ac:dyDescent="0.2">
      <c r="A88" s="23"/>
      <c r="B88" s="3"/>
      <c r="C88" s="7"/>
      <c r="D88" s="7"/>
      <c r="E88" s="7"/>
      <c r="F88" s="7"/>
      <c r="G88" s="7"/>
      <c r="H88" s="7"/>
      <c r="I88" s="7"/>
      <c r="J88" s="7"/>
      <c r="K88" s="7"/>
      <c r="L88" s="7"/>
      <c r="O88" s="7"/>
      <c r="BM88" s="193">
        <v>16</v>
      </c>
      <c r="BN88" s="200" t="str">
        <f ca="1">IF($BF$42&lt;&gt;" ",VLOOKUP(LARGE(INDIRECT(VLOOKUP($A$5,'Start List'!$J$9:$Q$14,5,FALSE)),BO88),'Start List'!$B$15:$V$139,3,FALSE),"")</f>
        <v/>
      </c>
      <c r="BO88" s="200">
        <f t="shared" ca="1" si="4"/>
        <v>16</v>
      </c>
      <c r="BP88" s="202" t="str">
        <f t="shared" ca="1" si="1"/>
        <v>0:0</v>
      </c>
      <c r="BQ88" s="200" t="str">
        <f>""</f>
        <v/>
      </c>
      <c r="BR88" s="200" t="str">
        <f>""</f>
        <v/>
      </c>
      <c r="BS88" s="200" t="str">
        <f>""</f>
        <v/>
      </c>
      <c r="BT88" s="200">
        <f ca="1">IF(A77=O80,A83,A77)</f>
        <v>11</v>
      </c>
    </row>
    <row r="89" spans="1:72" ht="6.75" customHeight="1" x14ac:dyDescent="0.2">
      <c r="B89" s="3"/>
      <c r="C89" s="7"/>
      <c r="D89" s="7"/>
      <c r="E89" s="7"/>
      <c r="F89" s="7"/>
      <c r="G89" s="7"/>
      <c r="H89" s="7"/>
      <c r="I89" s="7"/>
      <c r="J89" s="7"/>
      <c r="K89" s="7"/>
      <c r="L89" s="7"/>
      <c r="O89" s="7"/>
    </row>
    <row r="90" spans="1:72" ht="6.75" customHeight="1" x14ac:dyDescent="0.2">
      <c r="B90" s="3"/>
      <c r="C90" s="7"/>
      <c r="D90" s="7"/>
      <c r="E90" s="7"/>
      <c r="F90" s="7"/>
      <c r="G90" s="7"/>
      <c r="H90" s="7"/>
      <c r="I90" s="7"/>
      <c r="J90" s="7"/>
      <c r="K90" s="7"/>
      <c r="L90" s="7"/>
      <c r="O90" s="7"/>
    </row>
    <row r="91" spans="1:72" ht="6.75" customHeight="1" x14ac:dyDescent="0.2">
      <c r="B91" s="3"/>
      <c r="C91" s="7"/>
      <c r="D91" s="7"/>
      <c r="E91" s="7"/>
      <c r="F91" s="7"/>
      <c r="G91" s="7"/>
      <c r="H91" s="7"/>
      <c r="I91" s="7"/>
      <c r="J91" s="7"/>
      <c r="K91" s="7"/>
      <c r="L91" s="7"/>
      <c r="O91" s="7"/>
    </row>
    <row r="92" spans="1:72" ht="6.75" customHeight="1" x14ac:dyDescent="0.2">
      <c r="B92" s="3"/>
      <c r="C92" s="7"/>
      <c r="D92" s="7"/>
      <c r="E92" s="7"/>
      <c r="F92" s="7"/>
      <c r="G92" s="7"/>
      <c r="H92" s="7"/>
      <c r="I92" s="7"/>
      <c r="J92" s="7"/>
      <c r="K92" s="7"/>
      <c r="L92" s="7"/>
      <c r="O92" s="7"/>
    </row>
    <row r="93" spans="1:72" ht="6.75" customHeight="1" x14ac:dyDescent="0.2">
      <c r="B93" s="3"/>
      <c r="C93" s="7"/>
      <c r="D93" s="7"/>
      <c r="E93" s="7"/>
      <c r="F93" s="7"/>
      <c r="G93" s="7"/>
      <c r="H93" s="7"/>
      <c r="I93" s="7"/>
      <c r="J93" s="7"/>
      <c r="K93" s="7"/>
      <c r="L93" s="7"/>
      <c r="O93" s="7"/>
    </row>
    <row r="94" spans="1:72" ht="6.75" customHeight="1" x14ac:dyDescent="0.2">
      <c r="B94" s="3"/>
      <c r="C94" s="7"/>
      <c r="D94" s="7"/>
      <c r="E94" s="7"/>
      <c r="F94" s="7"/>
      <c r="G94" s="7"/>
      <c r="H94" s="7"/>
      <c r="I94" s="7"/>
      <c r="J94" s="7"/>
      <c r="K94" s="7"/>
      <c r="L94" s="7"/>
      <c r="O94" s="7"/>
    </row>
    <row r="95" spans="1:72" ht="6.75" customHeight="1" x14ac:dyDescent="0.2">
      <c r="B95" s="3"/>
      <c r="C95" s="7"/>
      <c r="D95" s="7"/>
      <c r="E95" s="7"/>
      <c r="F95" s="7"/>
      <c r="G95" s="7"/>
      <c r="H95" s="7"/>
      <c r="I95" s="7"/>
      <c r="J95" s="7"/>
      <c r="K95" s="7"/>
      <c r="L95" s="7"/>
      <c r="O95" s="7"/>
    </row>
    <row r="96" spans="1:72" ht="6.75" customHeight="1" x14ac:dyDescent="0.2">
      <c r="B96" s="3"/>
      <c r="C96" s="7"/>
      <c r="D96" s="7"/>
      <c r="E96" s="7"/>
      <c r="F96" s="7"/>
      <c r="G96" s="7"/>
      <c r="H96" s="7"/>
      <c r="I96" s="7"/>
      <c r="J96" s="7"/>
      <c r="K96" s="7"/>
      <c r="L96" s="7"/>
      <c r="O96" s="7"/>
    </row>
    <row r="97" spans="2:15" ht="6.75" customHeight="1" x14ac:dyDescent="0.2">
      <c r="B97" s="3"/>
      <c r="C97" s="7"/>
      <c r="D97" s="7"/>
      <c r="E97" s="7"/>
      <c r="F97" s="7"/>
      <c r="G97" s="7"/>
      <c r="H97" s="7"/>
      <c r="I97" s="7"/>
      <c r="J97" s="7"/>
      <c r="K97" s="7"/>
      <c r="L97" s="7"/>
      <c r="O97" s="7"/>
    </row>
    <row r="98" spans="2:15" ht="6.75" customHeight="1" x14ac:dyDescent="0.2">
      <c r="B98" s="3"/>
      <c r="C98" s="7"/>
      <c r="D98" s="7"/>
      <c r="E98" s="7"/>
      <c r="F98" s="7"/>
      <c r="G98" s="7"/>
      <c r="H98" s="7"/>
      <c r="I98" s="7"/>
      <c r="J98" s="7"/>
      <c r="K98" s="7"/>
      <c r="L98" s="7"/>
      <c r="O98" s="7"/>
    </row>
    <row r="99" spans="2:15" ht="6.75" customHeight="1" x14ac:dyDescent="0.2">
      <c r="B99" s="3"/>
      <c r="C99" s="7"/>
      <c r="D99" s="7"/>
      <c r="E99" s="7"/>
      <c r="F99" s="7"/>
      <c r="G99" s="7"/>
      <c r="H99" s="7"/>
      <c r="I99" s="7"/>
      <c r="J99" s="7"/>
      <c r="K99" s="7"/>
      <c r="L99" s="7"/>
      <c r="O99" s="7"/>
    </row>
    <row r="100" spans="2:15" ht="6.75" customHeight="1" x14ac:dyDescent="0.2">
      <c r="B100" s="3"/>
      <c r="C100" s="7"/>
      <c r="D100" s="7"/>
      <c r="E100" s="7"/>
      <c r="F100" s="7"/>
      <c r="G100" s="7"/>
      <c r="H100" s="7"/>
      <c r="I100" s="7"/>
      <c r="J100" s="7"/>
      <c r="K100" s="7"/>
      <c r="L100" s="7"/>
      <c r="O100" s="7"/>
    </row>
    <row r="101" spans="2:15" ht="6.75" customHeight="1" x14ac:dyDescent="0.2">
      <c r="B101" s="3"/>
      <c r="C101" s="7"/>
      <c r="D101" s="7"/>
      <c r="E101" s="7"/>
      <c r="F101" s="7"/>
      <c r="G101" s="7"/>
      <c r="H101" s="7"/>
      <c r="I101" s="7"/>
      <c r="J101" s="7"/>
      <c r="K101" s="7"/>
      <c r="L101" s="7"/>
      <c r="O101" s="7"/>
    </row>
    <row r="102" spans="2:15" ht="6.75" customHeight="1" x14ac:dyDescent="0.2">
      <c r="B102" s="3"/>
      <c r="C102" s="7"/>
      <c r="D102" s="7"/>
      <c r="E102" s="7"/>
      <c r="F102" s="7"/>
      <c r="G102" s="7"/>
      <c r="H102" s="7"/>
      <c r="I102" s="7"/>
      <c r="J102" s="7"/>
      <c r="K102" s="7"/>
      <c r="L102" s="7"/>
      <c r="O102" s="7"/>
    </row>
    <row r="103" spans="2:15" ht="6.75" customHeight="1" x14ac:dyDescent="0.2">
      <c r="B103" s="3"/>
      <c r="C103" s="7"/>
      <c r="D103" s="7"/>
      <c r="E103" s="7"/>
      <c r="F103" s="7"/>
      <c r="G103" s="7"/>
      <c r="H103" s="7"/>
      <c r="I103" s="7"/>
      <c r="J103" s="7"/>
      <c r="K103" s="7"/>
      <c r="L103" s="7"/>
      <c r="O103" s="7"/>
    </row>
    <row r="104" spans="2:15" ht="6.75" customHeight="1" x14ac:dyDescent="0.2">
      <c r="B104" s="3"/>
      <c r="C104" s="7"/>
      <c r="D104" s="7"/>
      <c r="E104" s="7"/>
      <c r="F104" s="7"/>
      <c r="G104" s="7"/>
      <c r="H104" s="7"/>
      <c r="I104" s="7"/>
      <c r="J104" s="7"/>
      <c r="K104" s="7"/>
      <c r="L104" s="7"/>
      <c r="O104" s="7"/>
    </row>
    <row r="105" spans="2:15" ht="6.75" customHeight="1" x14ac:dyDescent="0.2">
      <c r="B105" s="3"/>
      <c r="C105" s="7"/>
      <c r="D105" s="7"/>
      <c r="E105" s="7"/>
      <c r="F105" s="7"/>
      <c r="G105" s="7"/>
      <c r="H105" s="7"/>
      <c r="I105" s="7"/>
      <c r="J105" s="7"/>
      <c r="K105" s="7"/>
      <c r="L105" s="7"/>
      <c r="O105" s="7"/>
    </row>
    <row r="106" spans="2:15" ht="6.75" customHeight="1" x14ac:dyDescent="0.2">
      <c r="B106" s="3"/>
      <c r="C106" s="7"/>
      <c r="D106" s="7"/>
      <c r="E106" s="7"/>
      <c r="F106" s="7"/>
      <c r="G106" s="7"/>
      <c r="H106" s="7"/>
      <c r="I106" s="7"/>
      <c r="J106" s="7"/>
      <c r="K106" s="7"/>
      <c r="L106" s="7"/>
      <c r="O106" s="7"/>
    </row>
    <row r="107" spans="2:15" ht="6.75" customHeight="1" x14ac:dyDescent="0.2">
      <c r="B107" s="3"/>
      <c r="C107" s="7"/>
      <c r="D107" s="7"/>
      <c r="E107" s="7"/>
      <c r="F107" s="7"/>
      <c r="G107" s="7"/>
      <c r="H107" s="7"/>
      <c r="I107" s="7"/>
      <c r="J107" s="7"/>
      <c r="K107" s="7"/>
      <c r="L107" s="7"/>
      <c r="O107" s="7"/>
    </row>
    <row r="108" spans="2:15" ht="6.75" customHeight="1" x14ac:dyDescent="0.2">
      <c r="B108" s="3"/>
      <c r="C108" s="7"/>
      <c r="D108" s="7"/>
      <c r="E108" s="7"/>
      <c r="F108" s="7"/>
      <c r="G108" s="7"/>
      <c r="H108" s="7"/>
      <c r="I108" s="7"/>
      <c r="J108" s="7"/>
      <c r="K108" s="7"/>
      <c r="L108" s="7"/>
      <c r="O108" s="7"/>
    </row>
    <row r="109" spans="2:15" ht="6.75" customHeight="1" x14ac:dyDescent="0.2">
      <c r="B109" s="3"/>
      <c r="C109" s="7"/>
      <c r="D109" s="7"/>
      <c r="E109" s="7"/>
      <c r="F109" s="7"/>
      <c r="G109" s="7"/>
      <c r="H109" s="7"/>
      <c r="I109" s="7"/>
      <c r="J109" s="7"/>
      <c r="K109" s="7"/>
      <c r="L109" s="7"/>
      <c r="O109" s="7"/>
    </row>
    <row r="110" spans="2:15" ht="6.75" customHeight="1" x14ac:dyDescent="0.2">
      <c r="B110" s="3"/>
      <c r="C110" s="7"/>
      <c r="D110" s="7"/>
      <c r="E110" s="7"/>
      <c r="F110" s="7"/>
      <c r="G110" s="7"/>
      <c r="H110" s="7"/>
      <c r="I110" s="7"/>
      <c r="J110" s="7"/>
      <c r="K110" s="7"/>
      <c r="L110" s="7"/>
      <c r="O110" s="7"/>
    </row>
    <row r="111" spans="2:15" ht="6.75" customHeight="1" x14ac:dyDescent="0.2">
      <c r="B111" s="3"/>
      <c r="C111" s="7"/>
      <c r="D111" s="7"/>
      <c r="E111" s="7"/>
      <c r="F111" s="7"/>
      <c r="G111" s="7"/>
      <c r="H111" s="7"/>
      <c r="I111" s="7"/>
      <c r="J111" s="7"/>
      <c r="K111" s="7"/>
      <c r="L111" s="7"/>
      <c r="O111" s="7"/>
    </row>
    <row r="112" spans="2:15" ht="6.75" customHeight="1" x14ac:dyDescent="0.2">
      <c r="B112" s="3"/>
      <c r="C112" s="7"/>
      <c r="D112" s="7"/>
      <c r="E112" s="7"/>
      <c r="F112" s="7"/>
      <c r="G112" s="7"/>
      <c r="H112" s="7"/>
      <c r="I112" s="7"/>
      <c r="J112" s="7"/>
      <c r="K112" s="7"/>
      <c r="L112" s="7"/>
      <c r="O112" s="7"/>
    </row>
    <row r="113" spans="2:15" ht="6.75" customHeight="1" x14ac:dyDescent="0.2">
      <c r="B113" s="3"/>
      <c r="C113" s="7"/>
      <c r="D113" s="7"/>
      <c r="E113" s="7"/>
      <c r="F113" s="7"/>
      <c r="G113" s="7"/>
      <c r="H113" s="7"/>
      <c r="I113" s="7"/>
      <c r="J113" s="7"/>
      <c r="K113" s="7"/>
      <c r="L113" s="7"/>
      <c r="O113" s="7"/>
    </row>
    <row r="114" spans="2:15" ht="6.75" customHeight="1" x14ac:dyDescent="0.2">
      <c r="B114" s="3"/>
      <c r="C114" s="7"/>
      <c r="D114" s="7"/>
      <c r="E114" s="7"/>
      <c r="F114" s="7"/>
      <c r="G114" s="7"/>
      <c r="H114" s="7"/>
      <c r="I114" s="7"/>
      <c r="J114" s="7"/>
      <c r="K114" s="7"/>
      <c r="L114" s="7"/>
      <c r="O114" s="7"/>
    </row>
    <row r="115" spans="2:15" ht="6.75" customHeight="1" x14ac:dyDescent="0.2">
      <c r="B115" s="3"/>
      <c r="C115" s="7"/>
      <c r="D115" s="7"/>
      <c r="E115" s="7"/>
      <c r="F115" s="7"/>
      <c r="G115" s="7"/>
      <c r="H115" s="7"/>
      <c r="I115" s="7"/>
      <c r="J115" s="7"/>
      <c r="K115" s="7"/>
      <c r="L115" s="7"/>
      <c r="O115" s="7"/>
    </row>
    <row r="116" spans="2:15" ht="6.75" customHeight="1" x14ac:dyDescent="0.2">
      <c r="B116" s="3"/>
      <c r="C116" s="7"/>
      <c r="D116" s="7"/>
      <c r="E116" s="7"/>
      <c r="F116" s="7"/>
      <c r="G116" s="7"/>
      <c r="H116" s="7"/>
      <c r="I116" s="7"/>
      <c r="J116" s="7"/>
      <c r="K116" s="7"/>
      <c r="L116" s="7"/>
      <c r="O116" s="7"/>
    </row>
    <row r="117" spans="2:15" ht="6.75" customHeight="1" x14ac:dyDescent="0.2">
      <c r="B117" s="3"/>
      <c r="C117" s="7"/>
      <c r="D117" s="7"/>
      <c r="E117" s="7"/>
      <c r="F117" s="7"/>
      <c r="G117" s="7"/>
      <c r="H117" s="7"/>
      <c r="I117" s="7"/>
      <c r="J117" s="7"/>
      <c r="K117" s="7"/>
      <c r="L117" s="7"/>
      <c r="O117" s="7"/>
    </row>
    <row r="118" spans="2:15" ht="6.75" customHeight="1" x14ac:dyDescent="0.2">
      <c r="B118" s="3"/>
      <c r="C118" s="7"/>
      <c r="D118" s="7"/>
      <c r="E118" s="7"/>
      <c r="F118" s="7"/>
      <c r="G118" s="7"/>
      <c r="H118" s="7"/>
      <c r="I118" s="7"/>
      <c r="J118" s="7"/>
      <c r="K118" s="7"/>
      <c r="L118" s="7"/>
      <c r="O118" s="7"/>
    </row>
    <row r="119" spans="2:15" ht="6.75" customHeight="1" x14ac:dyDescent="0.2">
      <c r="B119" s="3"/>
      <c r="C119" s="7"/>
      <c r="D119" s="7"/>
      <c r="E119" s="7"/>
      <c r="F119" s="7"/>
      <c r="G119" s="7"/>
      <c r="H119" s="7"/>
      <c r="I119" s="7"/>
      <c r="J119" s="7"/>
      <c r="K119" s="7"/>
      <c r="L119" s="7"/>
      <c r="O119" s="7"/>
    </row>
    <row r="120" spans="2:15" ht="6.75" customHeight="1" x14ac:dyDescent="0.2">
      <c r="B120" s="3"/>
      <c r="C120" s="7"/>
      <c r="D120" s="7"/>
      <c r="E120" s="7"/>
      <c r="F120" s="7"/>
      <c r="G120" s="7"/>
      <c r="H120" s="7"/>
      <c r="I120" s="7"/>
      <c r="J120" s="7"/>
      <c r="K120" s="7"/>
      <c r="L120" s="7"/>
      <c r="O120" s="7"/>
    </row>
    <row r="121" spans="2:15" ht="6.75" customHeight="1" x14ac:dyDescent="0.2">
      <c r="B121" s="3"/>
      <c r="C121" s="7"/>
      <c r="D121" s="7"/>
      <c r="E121" s="7"/>
      <c r="F121" s="7"/>
      <c r="G121" s="7"/>
      <c r="H121" s="7"/>
      <c r="I121" s="7"/>
      <c r="J121" s="7"/>
      <c r="K121" s="7"/>
      <c r="L121" s="7"/>
      <c r="O121" s="7"/>
    </row>
    <row r="122" spans="2:15" ht="6.75" customHeight="1" x14ac:dyDescent="0.2">
      <c r="B122" s="3"/>
      <c r="C122" s="7"/>
      <c r="D122" s="7"/>
      <c r="E122" s="7"/>
      <c r="F122" s="7"/>
      <c r="G122" s="7"/>
      <c r="H122" s="7"/>
      <c r="I122" s="7"/>
      <c r="J122" s="7"/>
      <c r="K122" s="7"/>
      <c r="L122" s="7"/>
      <c r="O122" s="7"/>
    </row>
    <row r="123" spans="2:15" ht="6.75" customHeight="1" x14ac:dyDescent="0.2">
      <c r="B123" s="3"/>
      <c r="C123" s="7"/>
      <c r="D123" s="7"/>
      <c r="E123" s="7"/>
      <c r="F123" s="7"/>
      <c r="G123" s="7"/>
      <c r="H123" s="7"/>
      <c r="I123" s="7"/>
      <c r="J123" s="7"/>
      <c r="K123" s="7"/>
      <c r="L123" s="7"/>
      <c r="O123" s="7"/>
    </row>
    <row r="124" spans="2:15" ht="6.75" customHeight="1" x14ac:dyDescent="0.2">
      <c r="B124" s="3"/>
      <c r="C124" s="7"/>
      <c r="D124" s="7"/>
      <c r="E124" s="7"/>
      <c r="F124" s="7"/>
      <c r="G124" s="7"/>
      <c r="H124" s="7"/>
      <c r="I124" s="7"/>
      <c r="J124" s="7"/>
      <c r="K124" s="7"/>
      <c r="L124" s="7"/>
      <c r="O124" s="7"/>
    </row>
    <row r="125" spans="2:15" ht="6.75" customHeight="1" x14ac:dyDescent="0.2">
      <c r="B125" s="3"/>
      <c r="C125" s="7"/>
      <c r="D125" s="7"/>
      <c r="E125" s="7"/>
      <c r="F125" s="7"/>
      <c r="G125" s="7"/>
      <c r="H125" s="7"/>
      <c r="I125" s="7"/>
      <c r="J125" s="7"/>
      <c r="K125" s="7"/>
      <c r="L125" s="7"/>
      <c r="O125" s="7"/>
    </row>
    <row r="126" spans="2:15" ht="6.75" customHeight="1" x14ac:dyDescent="0.2">
      <c r="B126" s="3"/>
      <c r="C126" s="7"/>
      <c r="D126" s="7"/>
      <c r="E126" s="7"/>
      <c r="F126" s="7"/>
      <c r="G126" s="7"/>
      <c r="H126" s="7"/>
      <c r="I126" s="7"/>
      <c r="J126" s="7"/>
      <c r="K126" s="7"/>
      <c r="L126" s="7"/>
      <c r="O126" s="7"/>
    </row>
    <row r="127" spans="2:15" ht="6.75" customHeight="1" x14ac:dyDescent="0.2">
      <c r="B127" s="3"/>
      <c r="C127" s="7"/>
      <c r="D127" s="7"/>
      <c r="E127" s="7"/>
      <c r="F127" s="7"/>
      <c r="G127" s="7"/>
      <c r="H127" s="7"/>
      <c r="I127" s="7"/>
      <c r="J127" s="7"/>
      <c r="K127" s="7"/>
      <c r="L127" s="7"/>
      <c r="O127" s="7"/>
    </row>
    <row r="128" spans="2:15" ht="6.75" customHeight="1" x14ac:dyDescent="0.2">
      <c r="B128" s="3"/>
      <c r="C128" s="7"/>
      <c r="D128" s="7"/>
      <c r="E128" s="7"/>
      <c r="F128" s="7"/>
      <c r="G128" s="7"/>
      <c r="H128" s="7"/>
      <c r="I128" s="7"/>
      <c r="J128" s="7"/>
      <c r="K128" s="7"/>
      <c r="L128" s="7"/>
      <c r="O128" s="7"/>
    </row>
    <row r="129" spans="2:15" ht="6.75" customHeight="1" x14ac:dyDescent="0.2">
      <c r="B129" s="3"/>
      <c r="C129" s="7"/>
      <c r="D129" s="7"/>
      <c r="E129" s="7"/>
      <c r="F129" s="7"/>
      <c r="G129" s="7"/>
      <c r="H129" s="7"/>
      <c r="I129" s="7"/>
      <c r="J129" s="7"/>
      <c r="K129" s="7"/>
      <c r="L129" s="7"/>
      <c r="O129" s="7"/>
    </row>
    <row r="130" spans="2:15" ht="6.75" customHeight="1" x14ac:dyDescent="0.2">
      <c r="B130" s="3"/>
      <c r="C130" s="7"/>
      <c r="D130" s="7"/>
      <c r="E130" s="7"/>
      <c r="F130" s="7"/>
      <c r="G130" s="7"/>
      <c r="H130" s="7"/>
      <c r="I130" s="7"/>
      <c r="J130" s="7"/>
      <c r="K130" s="7"/>
      <c r="L130" s="7"/>
      <c r="O130" s="7"/>
    </row>
    <row r="131" spans="2:15" ht="6.75" customHeight="1" x14ac:dyDescent="0.2">
      <c r="B131" s="3"/>
      <c r="C131" s="7"/>
      <c r="D131" s="7"/>
      <c r="E131" s="7"/>
      <c r="F131" s="7"/>
      <c r="G131" s="7"/>
      <c r="H131" s="7"/>
      <c r="I131" s="7"/>
      <c r="J131" s="7"/>
      <c r="K131" s="7"/>
      <c r="L131" s="7"/>
      <c r="O131" s="7"/>
    </row>
    <row r="132" spans="2:15" ht="6.75" customHeight="1" x14ac:dyDescent="0.2">
      <c r="B132" s="3"/>
      <c r="C132" s="7"/>
      <c r="D132" s="7"/>
      <c r="E132" s="7"/>
      <c r="F132" s="7"/>
      <c r="G132" s="7"/>
      <c r="H132" s="7"/>
      <c r="I132" s="7"/>
      <c r="J132" s="7"/>
      <c r="K132" s="7"/>
      <c r="L132" s="7"/>
      <c r="O132" s="7"/>
    </row>
    <row r="133" spans="2:15" ht="6.75" customHeight="1" x14ac:dyDescent="0.2">
      <c r="B133" s="3"/>
      <c r="C133" s="7"/>
      <c r="D133" s="7"/>
      <c r="E133" s="7"/>
      <c r="F133" s="7"/>
      <c r="G133" s="7"/>
      <c r="H133" s="7"/>
      <c r="I133" s="7"/>
      <c r="J133" s="7"/>
      <c r="K133" s="7"/>
      <c r="L133" s="7"/>
      <c r="O133" s="7"/>
    </row>
    <row r="134" spans="2:15" ht="6.75" customHeight="1" x14ac:dyDescent="0.2">
      <c r="B134" s="3"/>
      <c r="C134" s="7"/>
      <c r="D134" s="7"/>
      <c r="E134" s="7"/>
      <c r="F134" s="7"/>
      <c r="G134" s="7"/>
      <c r="H134" s="7"/>
      <c r="I134" s="7"/>
      <c r="J134" s="7"/>
      <c r="K134" s="7"/>
      <c r="L134" s="7"/>
      <c r="O134" s="7"/>
    </row>
    <row r="135" spans="2:15" ht="6.75" customHeight="1" x14ac:dyDescent="0.2">
      <c r="B135" s="3"/>
      <c r="C135" s="7"/>
      <c r="D135" s="7"/>
      <c r="E135" s="7"/>
      <c r="F135" s="7"/>
      <c r="G135" s="7"/>
      <c r="H135" s="7"/>
      <c r="I135" s="7"/>
      <c r="J135" s="7"/>
      <c r="K135" s="7"/>
      <c r="L135" s="7"/>
      <c r="O135" s="7"/>
    </row>
    <row r="136" spans="2:15" ht="6.75" customHeight="1" x14ac:dyDescent="0.2">
      <c r="B136" s="3"/>
      <c r="C136" s="7"/>
      <c r="D136" s="7"/>
      <c r="E136" s="7"/>
      <c r="F136" s="7"/>
      <c r="G136" s="7"/>
      <c r="H136" s="7"/>
      <c r="I136" s="7"/>
      <c r="J136" s="7"/>
      <c r="K136" s="7"/>
      <c r="L136" s="7"/>
      <c r="O136" s="7"/>
    </row>
    <row r="137" spans="2:15" ht="6.75" customHeight="1" x14ac:dyDescent="0.2">
      <c r="B137" s="3"/>
      <c r="C137" s="7"/>
      <c r="D137" s="7"/>
      <c r="E137" s="7"/>
      <c r="F137" s="7"/>
      <c r="G137" s="7"/>
      <c r="H137" s="7"/>
      <c r="I137" s="7"/>
      <c r="J137" s="7"/>
      <c r="K137" s="7"/>
      <c r="L137" s="7"/>
      <c r="O137" s="7"/>
    </row>
    <row r="138" spans="2:15" ht="6.75" customHeight="1" x14ac:dyDescent="0.2">
      <c r="B138" s="3"/>
      <c r="C138" s="7"/>
      <c r="D138" s="7"/>
      <c r="E138" s="7"/>
      <c r="F138" s="7"/>
      <c r="G138" s="7"/>
      <c r="H138" s="7"/>
      <c r="I138" s="7"/>
      <c r="J138" s="7"/>
      <c r="K138" s="7"/>
      <c r="L138" s="7"/>
      <c r="O138" s="7"/>
    </row>
    <row r="139" spans="2:15" ht="6.75" customHeight="1" x14ac:dyDescent="0.2">
      <c r="B139" s="3"/>
      <c r="C139" s="7"/>
      <c r="D139" s="7"/>
      <c r="E139" s="7"/>
      <c r="F139" s="7"/>
      <c r="G139" s="7"/>
      <c r="H139" s="7"/>
      <c r="I139" s="7"/>
      <c r="J139" s="7"/>
      <c r="K139" s="7"/>
      <c r="L139" s="7"/>
      <c r="O139" s="7"/>
    </row>
    <row r="140" spans="2:15" ht="6.75" customHeight="1" x14ac:dyDescent="0.2">
      <c r="B140" s="3"/>
      <c r="C140" s="7"/>
      <c r="D140" s="7"/>
      <c r="E140" s="7"/>
      <c r="F140" s="7"/>
      <c r="G140" s="7"/>
      <c r="H140" s="7"/>
      <c r="I140" s="7"/>
      <c r="J140" s="7"/>
      <c r="K140" s="7"/>
      <c r="L140" s="7"/>
      <c r="O140" s="7"/>
    </row>
    <row r="141" spans="2:15" ht="6.75" customHeight="1" x14ac:dyDescent="0.2">
      <c r="B141" s="3"/>
      <c r="C141" s="7"/>
      <c r="D141" s="7"/>
      <c r="E141" s="7"/>
      <c r="F141" s="7"/>
      <c r="G141" s="7"/>
      <c r="H141" s="7"/>
      <c r="I141" s="7"/>
      <c r="J141" s="7"/>
      <c r="K141" s="7"/>
      <c r="L141" s="7"/>
      <c r="O141" s="7"/>
    </row>
    <row r="142" spans="2:15" ht="6.75" customHeight="1" x14ac:dyDescent="0.2">
      <c r="B142" s="3"/>
      <c r="C142" s="7"/>
      <c r="D142" s="7"/>
      <c r="E142" s="7"/>
      <c r="F142" s="7"/>
      <c r="G142" s="7"/>
      <c r="H142" s="7"/>
      <c r="I142" s="7"/>
      <c r="J142" s="7"/>
      <c r="K142" s="7"/>
      <c r="L142" s="7"/>
      <c r="O142" s="7"/>
    </row>
    <row r="143" spans="2:15" ht="6.75" customHeight="1" x14ac:dyDescent="0.2">
      <c r="B143" s="3"/>
      <c r="C143" s="7"/>
      <c r="D143" s="7"/>
      <c r="E143" s="7"/>
      <c r="F143" s="7"/>
      <c r="G143" s="7"/>
      <c r="H143" s="7"/>
      <c r="I143" s="7"/>
      <c r="J143" s="7"/>
      <c r="K143" s="7"/>
      <c r="L143" s="7"/>
      <c r="O143" s="7"/>
    </row>
    <row r="144" spans="2:15" ht="6.75" customHeight="1" x14ac:dyDescent="0.2">
      <c r="B144" s="3"/>
      <c r="C144" s="7"/>
      <c r="D144" s="7"/>
      <c r="E144" s="7"/>
      <c r="F144" s="7"/>
      <c r="G144" s="7"/>
      <c r="H144" s="7"/>
      <c r="I144" s="7"/>
      <c r="J144" s="7"/>
      <c r="K144" s="7"/>
      <c r="L144" s="7"/>
      <c r="O144" s="7"/>
    </row>
    <row r="145" spans="2:15" ht="6.75" customHeight="1" x14ac:dyDescent="0.2">
      <c r="B145" s="3"/>
      <c r="C145" s="7"/>
      <c r="D145" s="7"/>
      <c r="E145" s="7"/>
      <c r="F145" s="7"/>
      <c r="G145" s="7"/>
      <c r="H145" s="7"/>
      <c r="I145" s="7"/>
      <c r="J145" s="7"/>
      <c r="K145" s="7"/>
      <c r="L145" s="7"/>
      <c r="O145" s="7"/>
    </row>
    <row r="146" spans="2:15" ht="6.75" customHeight="1" x14ac:dyDescent="0.2">
      <c r="B146" s="3"/>
      <c r="C146" s="7"/>
      <c r="D146" s="7"/>
      <c r="E146" s="7"/>
      <c r="F146" s="7"/>
      <c r="G146" s="7"/>
      <c r="H146" s="7"/>
      <c r="I146" s="7"/>
      <c r="J146" s="7"/>
      <c r="K146" s="7"/>
      <c r="L146" s="7"/>
      <c r="O146" s="7"/>
    </row>
    <row r="147" spans="2:15" ht="6.75" customHeight="1" x14ac:dyDescent="0.2">
      <c r="B147" s="3"/>
      <c r="C147" s="7"/>
      <c r="D147" s="7"/>
      <c r="E147" s="7"/>
      <c r="F147" s="7"/>
      <c r="G147" s="7"/>
      <c r="H147" s="7"/>
      <c r="I147" s="7"/>
      <c r="J147" s="7"/>
      <c r="K147" s="7"/>
      <c r="L147" s="7"/>
      <c r="O147" s="7"/>
    </row>
    <row r="148" spans="2:15" ht="6.75" customHeight="1" x14ac:dyDescent="0.2">
      <c r="B148" s="3"/>
      <c r="C148" s="7"/>
      <c r="D148" s="7"/>
      <c r="E148" s="7"/>
      <c r="F148" s="7"/>
      <c r="G148" s="7"/>
      <c r="H148" s="7"/>
      <c r="I148" s="7"/>
      <c r="J148" s="7"/>
      <c r="K148" s="7"/>
      <c r="L148" s="7"/>
      <c r="O148" s="7"/>
    </row>
    <row r="149" spans="2:15" ht="6.75" customHeight="1" x14ac:dyDescent="0.2">
      <c r="B149" s="3"/>
      <c r="C149" s="7"/>
      <c r="D149" s="7"/>
      <c r="E149" s="7"/>
      <c r="F149" s="7"/>
      <c r="G149" s="7"/>
      <c r="H149" s="7"/>
      <c r="I149" s="7"/>
      <c r="J149" s="7"/>
      <c r="K149" s="7"/>
      <c r="L149" s="7"/>
      <c r="O149" s="7"/>
    </row>
    <row r="150" spans="2:15" ht="6.75" customHeight="1" x14ac:dyDescent="0.2">
      <c r="B150" s="3"/>
      <c r="C150" s="7"/>
      <c r="D150" s="7"/>
      <c r="E150" s="7"/>
      <c r="F150" s="7"/>
      <c r="G150" s="7"/>
      <c r="H150" s="7"/>
      <c r="I150" s="7"/>
      <c r="J150" s="7"/>
      <c r="K150" s="7"/>
      <c r="L150" s="7"/>
      <c r="O150" s="7"/>
    </row>
    <row r="151" spans="2:15" ht="6.75" customHeight="1" x14ac:dyDescent="0.2">
      <c r="B151" s="3"/>
      <c r="C151" s="7"/>
      <c r="D151" s="7"/>
      <c r="E151" s="7"/>
      <c r="F151" s="7"/>
      <c r="G151" s="7"/>
      <c r="H151" s="7"/>
      <c r="I151" s="7"/>
      <c r="J151" s="7"/>
      <c r="K151" s="7"/>
      <c r="L151" s="7"/>
      <c r="O151" s="7"/>
    </row>
    <row r="152" spans="2:15" ht="6.75" customHeight="1" x14ac:dyDescent="0.2">
      <c r="B152" s="3"/>
      <c r="C152" s="7"/>
      <c r="D152" s="7"/>
      <c r="E152" s="7"/>
      <c r="F152" s="7"/>
      <c r="G152" s="7"/>
      <c r="H152" s="7"/>
      <c r="I152" s="7"/>
      <c r="J152" s="7"/>
      <c r="K152" s="7"/>
      <c r="L152" s="7"/>
      <c r="O152" s="7"/>
    </row>
    <row r="153" spans="2:15" ht="6.75" customHeight="1" x14ac:dyDescent="0.2">
      <c r="B153" s="3"/>
      <c r="C153" s="7"/>
      <c r="D153" s="7"/>
      <c r="E153" s="7"/>
      <c r="F153" s="7"/>
      <c r="G153" s="7"/>
      <c r="H153" s="7"/>
      <c r="I153" s="7"/>
      <c r="J153" s="7"/>
      <c r="K153" s="7"/>
      <c r="L153" s="7"/>
      <c r="O153" s="7"/>
    </row>
    <row r="154" spans="2:15" ht="6.75" customHeight="1" x14ac:dyDescent="0.2">
      <c r="B154" s="3"/>
      <c r="C154" s="7"/>
      <c r="D154" s="7"/>
      <c r="E154" s="7"/>
      <c r="F154" s="7"/>
      <c r="G154" s="7"/>
      <c r="H154" s="7"/>
      <c r="I154" s="7"/>
      <c r="J154" s="7"/>
      <c r="K154" s="7"/>
      <c r="L154" s="7"/>
      <c r="O154" s="7"/>
    </row>
    <row r="155" spans="2:15" ht="6.75" customHeight="1" x14ac:dyDescent="0.2">
      <c r="B155" s="3"/>
      <c r="C155" s="7"/>
      <c r="D155" s="7"/>
      <c r="E155" s="7"/>
      <c r="F155" s="7"/>
      <c r="G155" s="7"/>
      <c r="H155" s="7"/>
      <c r="I155" s="7"/>
      <c r="J155" s="7"/>
      <c r="K155" s="7"/>
      <c r="L155" s="7"/>
      <c r="O155" s="7"/>
    </row>
    <row r="156" spans="2:15" ht="6.75" customHeight="1" x14ac:dyDescent="0.2">
      <c r="B156" s="3"/>
      <c r="C156" s="7"/>
      <c r="D156" s="7"/>
      <c r="E156" s="7"/>
      <c r="F156" s="7"/>
      <c r="G156" s="7"/>
      <c r="H156" s="7"/>
      <c r="I156" s="7"/>
      <c r="J156" s="7"/>
      <c r="K156" s="7"/>
      <c r="L156" s="7"/>
      <c r="O156" s="7"/>
    </row>
    <row r="157" spans="2:15" ht="6.75" customHeight="1" x14ac:dyDescent="0.2">
      <c r="B157" s="3"/>
      <c r="C157" s="7"/>
      <c r="D157" s="7"/>
      <c r="E157" s="7"/>
      <c r="F157" s="7"/>
      <c r="G157" s="7"/>
      <c r="H157" s="7"/>
      <c r="I157" s="7"/>
      <c r="J157" s="7"/>
      <c r="K157" s="7"/>
      <c r="L157" s="7"/>
      <c r="O157" s="7"/>
    </row>
    <row r="158" spans="2:15" ht="6.75" customHeight="1" x14ac:dyDescent="0.2">
      <c r="B158" s="3"/>
      <c r="C158" s="7"/>
      <c r="D158" s="7"/>
      <c r="E158" s="7"/>
      <c r="F158" s="7"/>
      <c r="G158" s="7"/>
      <c r="H158" s="7"/>
      <c r="I158" s="7"/>
      <c r="J158" s="7"/>
      <c r="K158" s="7"/>
      <c r="L158" s="7"/>
      <c r="O158" s="7"/>
    </row>
    <row r="159" spans="2:15" ht="6.75" customHeight="1" x14ac:dyDescent="0.2">
      <c r="B159" s="3"/>
      <c r="C159" s="7"/>
      <c r="D159" s="7"/>
      <c r="E159" s="7"/>
      <c r="F159" s="7"/>
      <c r="G159" s="7"/>
      <c r="H159" s="7"/>
      <c r="I159" s="7"/>
      <c r="J159" s="7"/>
      <c r="K159" s="7"/>
      <c r="L159" s="7"/>
      <c r="O159" s="7"/>
    </row>
    <row r="160" spans="2:15" ht="6.75" customHeight="1" x14ac:dyDescent="0.2">
      <c r="B160" s="3"/>
      <c r="C160" s="7"/>
      <c r="D160" s="7"/>
      <c r="E160" s="7"/>
      <c r="F160" s="7"/>
      <c r="G160" s="7"/>
      <c r="H160" s="7"/>
      <c r="I160" s="7"/>
      <c r="J160" s="7"/>
      <c r="K160" s="7"/>
      <c r="L160" s="7"/>
      <c r="O160" s="7"/>
    </row>
    <row r="161" spans="2:15" ht="6.75" customHeight="1" x14ac:dyDescent="0.2">
      <c r="B161" s="3"/>
      <c r="C161" s="7"/>
      <c r="D161" s="7"/>
      <c r="E161" s="7"/>
      <c r="F161" s="7"/>
      <c r="G161" s="7"/>
      <c r="H161" s="7"/>
      <c r="I161" s="7"/>
      <c r="J161" s="7"/>
      <c r="K161" s="7"/>
      <c r="L161" s="7"/>
      <c r="O161" s="7"/>
    </row>
    <row r="162" spans="2:15" ht="6.75" customHeight="1" x14ac:dyDescent="0.2">
      <c r="B162" s="3"/>
      <c r="C162" s="7"/>
      <c r="D162" s="7"/>
      <c r="E162" s="7"/>
      <c r="F162" s="7"/>
      <c r="G162" s="7"/>
      <c r="H162" s="7"/>
      <c r="I162" s="7"/>
      <c r="J162" s="7"/>
      <c r="K162" s="7"/>
      <c r="L162" s="7"/>
      <c r="O162" s="7"/>
    </row>
    <row r="163" spans="2:15" ht="6.75" customHeight="1" x14ac:dyDescent="0.2">
      <c r="B163" s="3"/>
      <c r="C163" s="7"/>
      <c r="D163" s="7"/>
      <c r="E163" s="7"/>
      <c r="F163" s="7"/>
      <c r="G163" s="7"/>
      <c r="H163" s="7"/>
      <c r="I163" s="7"/>
      <c r="J163" s="7"/>
      <c r="K163" s="7"/>
      <c r="L163" s="7"/>
      <c r="O163" s="7"/>
    </row>
  </sheetData>
  <sheetProtection password="D587" sheet="1" objects="1" scenarios="1" selectLockedCells="1"/>
  <mergeCells count="510">
    <mergeCell ref="A1:BK1"/>
    <mergeCell ref="A2:BK2"/>
    <mergeCell ref="A3:BK3"/>
    <mergeCell ref="A4:BK4"/>
    <mergeCell ref="A5:BK5"/>
    <mergeCell ref="A7:A8"/>
    <mergeCell ref="B7:K8"/>
    <mergeCell ref="L7:L8"/>
    <mergeCell ref="Z10:Z11"/>
    <mergeCell ref="A11:A12"/>
    <mergeCell ref="B11:B12"/>
    <mergeCell ref="C11:C12"/>
    <mergeCell ref="D11:D12"/>
    <mergeCell ref="E11:E12"/>
    <mergeCell ref="F11:F12"/>
    <mergeCell ref="G11:G12"/>
    <mergeCell ref="G9:G10"/>
    <mergeCell ref="H9:H10"/>
    <mergeCell ref="I9:I10"/>
    <mergeCell ref="J9:J10"/>
    <mergeCell ref="K9:K10"/>
    <mergeCell ref="L9:L10"/>
    <mergeCell ref="A9:A10"/>
    <mergeCell ref="B9:B10"/>
    <mergeCell ref="A13:A14"/>
    <mergeCell ref="B13:K14"/>
    <mergeCell ref="L13:L14"/>
    <mergeCell ref="O10:O11"/>
    <mergeCell ref="P10:Y11"/>
    <mergeCell ref="A17:A18"/>
    <mergeCell ref="B17:K18"/>
    <mergeCell ref="L17:L18"/>
    <mergeCell ref="AC15:AC16"/>
    <mergeCell ref="C9:C10"/>
    <mergeCell ref="D9:D10"/>
    <mergeCell ref="E9:E10"/>
    <mergeCell ref="F9:F10"/>
    <mergeCell ref="S14:S15"/>
    <mergeCell ref="T14:T15"/>
    <mergeCell ref="H11:H12"/>
    <mergeCell ref="I11:I12"/>
    <mergeCell ref="J11:J12"/>
    <mergeCell ref="K11:K12"/>
    <mergeCell ref="L11:L12"/>
    <mergeCell ref="AD15:AM16"/>
    <mergeCell ref="AN15:AN16"/>
    <mergeCell ref="O16:O17"/>
    <mergeCell ref="P16:P17"/>
    <mergeCell ref="Q16:Q17"/>
    <mergeCell ref="R16:R17"/>
    <mergeCell ref="S16:S17"/>
    <mergeCell ref="T16:T17"/>
    <mergeCell ref="U16:U17"/>
    <mergeCell ref="U14:U15"/>
    <mergeCell ref="V14:V15"/>
    <mergeCell ref="W14:W15"/>
    <mergeCell ref="X14:X15"/>
    <mergeCell ref="Y14:Y15"/>
    <mergeCell ref="Z14:Z15"/>
    <mergeCell ref="O14:O15"/>
    <mergeCell ref="P14:P15"/>
    <mergeCell ref="Q14:Q15"/>
    <mergeCell ref="R14:R15"/>
    <mergeCell ref="AQ17:BB18"/>
    <mergeCell ref="A19:A20"/>
    <mergeCell ref="B19:B20"/>
    <mergeCell ref="C19:C20"/>
    <mergeCell ref="D19:D20"/>
    <mergeCell ref="E19:E20"/>
    <mergeCell ref="F19:F20"/>
    <mergeCell ref="G19:G20"/>
    <mergeCell ref="H19:H20"/>
    <mergeCell ref="I19:I20"/>
    <mergeCell ref="V16:V17"/>
    <mergeCell ref="W16:W17"/>
    <mergeCell ref="X16:X17"/>
    <mergeCell ref="Y16:Y17"/>
    <mergeCell ref="Z16:Z17"/>
    <mergeCell ref="AQ20:AQ21"/>
    <mergeCell ref="AR20:BA21"/>
    <mergeCell ref="BB20:BB21"/>
    <mergeCell ref="A21:A22"/>
    <mergeCell ref="B21:B22"/>
    <mergeCell ref="C21:C22"/>
    <mergeCell ref="D21:D22"/>
    <mergeCell ref="E21:E22"/>
    <mergeCell ref="F21:F22"/>
    <mergeCell ref="G21:G22"/>
    <mergeCell ref="J19:J20"/>
    <mergeCell ref="K19:K20"/>
    <mergeCell ref="L19:L20"/>
    <mergeCell ref="O20:O21"/>
    <mergeCell ref="P20:Y21"/>
    <mergeCell ref="Z20:Z21"/>
    <mergeCell ref="H21:H22"/>
    <mergeCell ref="I21:I22"/>
    <mergeCell ref="J21:J22"/>
    <mergeCell ref="K21:K22"/>
    <mergeCell ref="L21:L22"/>
    <mergeCell ref="A23:A24"/>
    <mergeCell ref="B23:K24"/>
    <mergeCell ref="L23:L24"/>
    <mergeCell ref="AK24:AK25"/>
    <mergeCell ref="AL24:AL25"/>
    <mergeCell ref="AM24:AM25"/>
    <mergeCell ref="AN24:AN25"/>
    <mergeCell ref="AC24:AC25"/>
    <mergeCell ref="AD24:AD25"/>
    <mergeCell ref="AE24:AE25"/>
    <mergeCell ref="AF24:AF25"/>
    <mergeCell ref="AG24:AG25"/>
    <mergeCell ref="AH24:AH25"/>
    <mergeCell ref="BE25:BE26"/>
    <mergeCell ref="BF25:BJ26"/>
    <mergeCell ref="BK25:BK26"/>
    <mergeCell ref="AC26:AC27"/>
    <mergeCell ref="AD26:AD27"/>
    <mergeCell ref="AE26:AE27"/>
    <mergeCell ref="AF26:AF27"/>
    <mergeCell ref="AG26:AG27"/>
    <mergeCell ref="AH26:AH27"/>
    <mergeCell ref="AI26:AI27"/>
    <mergeCell ref="AW24:AW25"/>
    <mergeCell ref="AX24:AX25"/>
    <mergeCell ref="AY24:AY25"/>
    <mergeCell ref="AZ24:AZ25"/>
    <mergeCell ref="BA24:BA25"/>
    <mergeCell ref="BB24:BB25"/>
    <mergeCell ref="AQ24:AQ25"/>
    <mergeCell ref="AR24:AR25"/>
    <mergeCell ref="AS24:AS25"/>
    <mergeCell ref="AT24:AT25"/>
    <mergeCell ref="AU24:AU25"/>
    <mergeCell ref="AV24:AV25"/>
    <mergeCell ref="AI24:AI25"/>
    <mergeCell ref="AJ24:AJ25"/>
    <mergeCell ref="E29:E30"/>
    <mergeCell ref="F29:F30"/>
    <mergeCell ref="AX26:AX27"/>
    <mergeCell ref="AY26:AY27"/>
    <mergeCell ref="AZ26:AZ27"/>
    <mergeCell ref="BA26:BA27"/>
    <mergeCell ref="BB26:BB27"/>
    <mergeCell ref="A27:A28"/>
    <mergeCell ref="B27:K28"/>
    <mergeCell ref="L27:L28"/>
    <mergeCell ref="AR26:AR27"/>
    <mergeCell ref="AS26:AS27"/>
    <mergeCell ref="AT26:AT27"/>
    <mergeCell ref="AU26:AU27"/>
    <mergeCell ref="AV26:AV27"/>
    <mergeCell ref="AW26:AW27"/>
    <mergeCell ref="AJ26:AJ27"/>
    <mergeCell ref="AK26:AK27"/>
    <mergeCell ref="AL26:AL27"/>
    <mergeCell ref="AM26:AM27"/>
    <mergeCell ref="AN26:AN27"/>
    <mergeCell ref="AQ26:AQ27"/>
    <mergeCell ref="Z30:Z31"/>
    <mergeCell ref="AQ30:AQ31"/>
    <mergeCell ref="AR30:BA31"/>
    <mergeCell ref="BB30:BB31"/>
    <mergeCell ref="G29:G30"/>
    <mergeCell ref="H29:H30"/>
    <mergeCell ref="I29:I30"/>
    <mergeCell ref="J29:J30"/>
    <mergeCell ref="K29:K30"/>
    <mergeCell ref="L29:L30"/>
    <mergeCell ref="V34:V35"/>
    <mergeCell ref="AN35:AN36"/>
    <mergeCell ref="O36:O37"/>
    <mergeCell ref="P36:P37"/>
    <mergeCell ref="Q36:Q37"/>
    <mergeCell ref="R36:R37"/>
    <mergeCell ref="S36:S37"/>
    <mergeCell ref="T36:T37"/>
    <mergeCell ref="U36:U37"/>
    <mergeCell ref="V36:V37"/>
    <mergeCell ref="W36:W37"/>
    <mergeCell ref="X34:X35"/>
    <mergeCell ref="Y34:Y35"/>
    <mergeCell ref="Z34:Z35"/>
    <mergeCell ref="AC35:AC36"/>
    <mergeCell ref="AD35:AM36"/>
    <mergeCell ref="A33:A34"/>
    <mergeCell ref="B33:K34"/>
    <mergeCell ref="L33:L34"/>
    <mergeCell ref="O34:O35"/>
    <mergeCell ref="P34:P35"/>
    <mergeCell ref="G31:G32"/>
    <mergeCell ref="H31:H32"/>
    <mergeCell ref="I31:I32"/>
    <mergeCell ref="J31:J32"/>
    <mergeCell ref="K31:K32"/>
    <mergeCell ref="L31:L32"/>
    <mergeCell ref="A31:A32"/>
    <mergeCell ref="B31:B32"/>
    <mergeCell ref="C31:C32"/>
    <mergeCell ref="D31:D32"/>
    <mergeCell ref="E31:E32"/>
    <mergeCell ref="F31:F32"/>
    <mergeCell ref="O30:O31"/>
    <mergeCell ref="P30:Y31"/>
    <mergeCell ref="A29:A30"/>
    <mergeCell ref="B29:B30"/>
    <mergeCell ref="C29:C30"/>
    <mergeCell ref="D29:D30"/>
    <mergeCell ref="W34:W35"/>
    <mergeCell ref="X36:X37"/>
    <mergeCell ref="Y36:Y37"/>
    <mergeCell ref="Z36:Z37"/>
    <mergeCell ref="Q34:Q35"/>
    <mergeCell ref="R34:R35"/>
    <mergeCell ref="S34:S35"/>
    <mergeCell ref="T34:T35"/>
    <mergeCell ref="U34:U35"/>
    <mergeCell ref="F41:F42"/>
    <mergeCell ref="G39:G40"/>
    <mergeCell ref="H39:H40"/>
    <mergeCell ref="I39:I40"/>
    <mergeCell ref="J39:J40"/>
    <mergeCell ref="K39:K40"/>
    <mergeCell ref="L39:L40"/>
    <mergeCell ref="A37:A38"/>
    <mergeCell ref="B37:K38"/>
    <mergeCell ref="L37:L38"/>
    <mergeCell ref="A39:A40"/>
    <mergeCell ref="B39:B40"/>
    <mergeCell ref="C39:C40"/>
    <mergeCell ref="D39:D40"/>
    <mergeCell ref="E39:E40"/>
    <mergeCell ref="F39:F40"/>
    <mergeCell ref="BE42:BE43"/>
    <mergeCell ref="BF42:BJ43"/>
    <mergeCell ref="BK42:BK43"/>
    <mergeCell ref="A43:A44"/>
    <mergeCell ref="B43:K44"/>
    <mergeCell ref="L43:L44"/>
    <mergeCell ref="BE44:BE45"/>
    <mergeCell ref="BF44:BJ45"/>
    <mergeCell ref="BK44:BK45"/>
    <mergeCell ref="G41:G42"/>
    <mergeCell ref="H41:H42"/>
    <mergeCell ref="I41:I42"/>
    <mergeCell ref="J41:J42"/>
    <mergeCell ref="K41:K42"/>
    <mergeCell ref="L41:L42"/>
    <mergeCell ref="O40:O41"/>
    <mergeCell ref="P40:Y41"/>
    <mergeCell ref="Z40:Z41"/>
    <mergeCell ref="BE40:BK41"/>
    <mergeCell ref="A41:A42"/>
    <mergeCell ref="B41:B42"/>
    <mergeCell ref="C41:C42"/>
    <mergeCell ref="D41:D42"/>
    <mergeCell ref="E41:E42"/>
    <mergeCell ref="BE46:BE47"/>
    <mergeCell ref="BF46:BJ47"/>
    <mergeCell ref="BK46:BK47"/>
    <mergeCell ref="A47:A48"/>
    <mergeCell ref="B47:K48"/>
    <mergeCell ref="L47:L48"/>
    <mergeCell ref="BE48:BE49"/>
    <mergeCell ref="BF48:BJ49"/>
    <mergeCell ref="BK48:BK49"/>
    <mergeCell ref="Z50:Z51"/>
    <mergeCell ref="A51:A52"/>
    <mergeCell ref="B51:B52"/>
    <mergeCell ref="C51:C52"/>
    <mergeCell ref="D51:D52"/>
    <mergeCell ref="E51:E52"/>
    <mergeCell ref="F51:F52"/>
    <mergeCell ref="G51:G52"/>
    <mergeCell ref="G49:G50"/>
    <mergeCell ref="H49:H50"/>
    <mergeCell ref="I49:I50"/>
    <mergeCell ref="J49:J50"/>
    <mergeCell ref="K49:K50"/>
    <mergeCell ref="L49:L50"/>
    <mergeCell ref="A49:A50"/>
    <mergeCell ref="B49:B50"/>
    <mergeCell ref="C49:C50"/>
    <mergeCell ref="D49:D50"/>
    <mergeCell ref="E49:E50"/>
    <mergeCell ref="F49:F50"/>
    <mergeCell ref="T54:T55"/>
    <mergeCell ref="H51:H52"/>
    <mergeCell ref="I51:I52"/>
    <mergeCell ref="J51:J52"/>
    <mergeCell ref="K51:K52"/>
    <mergeCell ref="L51:L52"/>
    <mergeCell ref="A53:A54"/>
    <mergeCell ref="B53:K54"/>
    <mergeCell ref="L53:L54"/>
    <mergeCell ref="O50:O51"/>
    <mergeCell ref="P50:Y51"/>
    <mergeCell ref="A57:A58"/>
    <mergeCell ref="B57:K58"/>
    <mergeCell ref="L57:L58"/>
    <mergeCell ref="AC55:AC56"/>
    <mergeCell ref="AD55:AM56"/>
    <mergeCell ref="AN55:AN56"/>
    <mergeCell ref="O56:O57"/>
    <mergeCell ref="P56:P57"/>
    <mergeCell ref="Q56:Q57"/>
    <mergeCell ref="R56:R57"/>
    <mergeCell ref="S56:S57"/>
    <mergeCell ref="T56:T57"/>
    <mergeCell ref="U56:U57"/>
    <mergeCell ref="U54:U55"/>
    <mergeCell ref="V54:V55"/>
    <mergeCell ref="W54:W55"/>
    <mergeCell ref="X54:X55"/>
    <mergeCell ref="Y54:Y55"/>
    <mergeCell ref="Z54:Z55"/>
    <mergeCell ref="O54:O55"/>
    <mergeCell ref="P54:P55"/>
    <mergeCell ref="Q54:Q55"/>
    <mergeCell ref="R54:R55"/>
    <mergeCell ref="S54:S55"/>
    <mergeCell ref="AQ57:BB58"/>
    <mergeCell ref="A59:A60"/>
    <mergeCell ref="B59:B60"/>
    <mergeCell ref="C59:C60"/>
    <mergeCell ref="D59:D60"/>
    <mergeCell ref="E59:E60"/>
    <mergeCell ref="F59:F60"/>
    <mergeCell ref="G59:G60"/>
    <mergeCell ref="H59:H60"/>
    <mergeCell ref="I59:I60"/>
    <mergeCell ref="V56:V57"/>
    <mergeCell ref="W56:W57"/>
    <mergeCell ref="X56:X57"/>
    <mergeCell ref="Y56:Y57"/>
    <mergeCell ref="Z56:Z57"/>
    <mergeCell ref="AQ60:AQ61"/>
    <mergeCell ref="AR60:BA61"/>
    <mergeCell ref="BB60:BB61"/>
    <mergeCell ref="A61:A62"/>
    <mergeCell ref="B61:B62"/>
    <mergeCell ref="C61:C62"/>
    <mergeCell ref="D61:D62"/>
    <mergeCell ref="E61:E62"/>
    <mergeCell ref="F61:F62"/>
    <mergeCell ref="G61:G62"/>
    <mergeCell ref="J59:J60"/>
    <mergeCell ref="K59:K60"/>
    <mergeCell ref="L59:L60"/>
    <mergeCell ref="O60:O61"/>
    <mergeCell ref="P60:Y61"/>
    <mergeCell ref="Z60:Z61"/>
    <mergeCell ref="H61:H62"/>
    <mergeCell ref="I61:I62"/>
    <mergeCell ref="J61:J62"/>
    <mergeCell ref="K61:K62"/>
    <mergeCell ref="L61:L62"/>
    <mergeCell ref="A63:A64"/>
    <mergeCell ref="B63:K64"/>
    <mergeCell ref="L63:L64"/>
    <mergeCell ref="AK64:AK65"/>
    <mergeCell ref="AL64:AL65"/>
    <mergeCell ref="AM64:AM65"/>
    <mergeCell ref="AN64:AN65"/>
    <mergeCell ref="AC64:AC65"/>
    <mergeCell ref="AD64:AD65"/>
    <mergeCell ref="AE64:AE65"/>
    <mergeCell ref="AF64:AF65"/>
    <mergeCell ref="AG64:AG65"/>
    <mergeCell ref="AH64:AH65"/>
    <mergeCell ref="BE65:BE66"/>
    <mergeCell ref="BF65:BJ66"/>
    <mergeCell ref="BK65:BK66"/>
    <mergeCell ref="AC66:AC67"/>
    <mergeCell ref="AD66:AD67"/>
    <mergeCell ref="AE66:AE67"/>
    <mergeCell ref="AF66:AF67"/>
    <mergeCell ref="AG66:AG67"/>
    <mergeCell ref="AH66:AH67"/>
    <mergeCell ref="AI66:AI67"/>
    <mergeCell ref="AW64:AW65"/>
    <mergeCell ref="AX64:AX65"/>
    <mergeCell ref="AY64:AY65"/>
    <mergeCell ref="AZ64:AZ65"/>
    <mergeCell ref="BA64:BA65"/>
    <mergeCell ref="BB64:BB65"/>
    <mergeCell ref="AQ64:AQ65"/>
    <mergeCell ref="AR64:AR65"/>
    <mergeCell ref="AS64:AS65"/>
    <mergeCell ref="AT64:AT65"/>
    <mergeCell ref="AU64:AU65"/>
    <mergeCell ref="AV64:AV65"/>
    <mergeCell ref="AI64:AI65"/>
    <mergeCell ref="AJ64:AJ65"/>
    <mergeCell ref="A67:A68"/>
    <mergeCell ref="B67:K68"/>
    <mergeCell ref="L67:L68"/>
    <mergeCell ref="AR66:AR67"/>
    <mergeCell ref="AS66:AS67"/>
    <mergeCell ref="AT66:AT67"/>
    <mergeCell ref="AU66:AU67"/>
    <mergeCell ref="AV66:AV67"/>
    <mergeCell ref="AW66:AW67"/>
    <mergeCell ref="AJ66:AJ67"/>
    <mergeCell ref="AK66:AK67"/>
    <mergeCell ref="AL66:AL67"/>
    <mergeCell ref="AM66:AM67"/>
    <mergeCell ref="AN66:AN67"/>
    <mergeCell ref="AQ66:AQ67"/>
    <mergeCell ref="AC75:AC76"/>
    <mergeCell ref="AD75:AM76"/>
    <mergeCell ref="E69:E70"/>
    <mergeCell ref="F69:F70"/>
    <mergeCell ref="AX66:AX67"/>
    <mergeCell ref="AY66:AY67"/>
    <mergeCell ref="AZ66:AZ67"/>
    <mergeCell ref="BA66:BA67"/>
    <mergeCell ref="BB66:BB67"/>
    <mergeCell ref="Z70:Z71"/>
    <mergeCell ref="AQ70:AQ71"/>
    <mergeCell ref="O70:O71"/>
    <mergeCell ref="P70:Y71"/>
    <mergeCell ref="I71:I72"/>
    <mergeCell ref="J71:J72"/>
    <mergeCell ref="K71:K72"/>
    <mergeCell ref="L71:L72"/>
    <mergeCell ref="X74:X75"/>
    <mergeCell ref="Y74:Y75"/>
    <mergeCell ref="Z74:Z75"/>
    <mergeCell ref="A69:A70"/>
    <mergeCell ref="B69:B70"/>
    <mergeCell ref="C69:C70"/>
    <mergeCell ref="D69:D70"/>
    <mergeCell ref="W74:W75"/>
    <mergeCell ref="AR70:BA71"/>
    <mergeCell ref="BB70:BB71"/>
    <mergeCell ref="G69:G70"/>
    <mergeCell ref="H69:H70"/>
    <mergeCell ref="I69:I70"/>
    <mergeCell ref="J69:J70"/>
    <mergeCell ref="K69:K70"/>
    <mergeCell ref="L69:L70"/>
    <mergeCell ref="V74:V75"/>
    <mergeCell ref="AN75:AN76"/>
    <mergeCell ref="O76:O77"/>
    <mergeCell ref="P76:P77"/>
    <mergeCell ref="Q76:Q77"/>
    <mergeCell ref="R76:R77"/>
    <mergeCell ref="S76:S77"/>
    <mergeCell ref="T76:T77"/>
    <mergeCell ref="U76:U77"/>
    <mergeCell ref="G71:G72"/>
    <mergeCell ref="H71:H72"/>
    <mergeCell ref="A71:A72"/>
    <mergeCell ref="B71:B72"/>
    <mergeCell ref="C71:C72"/>
    <mergeCell ref="D71:D72"/>
    <mergeCell ref="E71:E72"/>
    <mergeCell ref="F71:F72"/>
    <mergeCell ref="X76:X77"/>
    <mergeCell ref="Y76:Y77"/>
    <mergeCell ref="Z76:Z77"/>
    <mergeCell ref="Q74:Q75"/>
    <mergeCell ref="R74:R75"/>
    <mergeCell ref="S74:S75"/>
    <mergeCell ref="T74:T75"/>
    <mergeCell ref="U74:U75"/>
    <mergeCell ref="A77:A78"/>
    <mergeCell ref="B77:K78"/>
    <mergeCell ref="L77:L78"/>
    <mergeCell ref="A73:A74"/>
    <mergeCell ref="B73:K74"/>
    <mergeCell ref="L73:L74"/>
    <mergeCell ref="O74:O75"/>
    <mergeCell ref="P74:P75"/>
    <mergeCell ref="V76:V77"/>
    <mergeCell ref="W76:W77"/>
    <mergeCell ref="AO77:AP78"/>
    <mergeCell ref="A79:A80"/>
    <mergeCell ref="B79:B80"/>
    <mergeCell ref="C79:C80"/>
    <mergeCell ref="D79:D80"/>
    <mergeCell ref="E79:E80"/>
    <mergeCell ref="L79:L80"/>
    <mergeCell ref="AO79:AP80"/>
    <mergeCell ref="O80:O81"/>
    <mergeCell ref="P80:Y81"/>
    <mergeCell ref="Z80:Z81"/>
    <mergeCell ref="A81:A82"/>
    <mergeCell ref="B81:B82"/>
    <mergeCell ref="C81:C82"/>
    <mergeCell ref="D81:D82"/>
    <mergeCell ref="E81:E82"/>
    <mergeCell ref="F79:F80"/>
    <mergeCell ref="G79:G80"/>
    <mergeCell ref="H79:H80"/>
    <mergeCell ref="I79:I80"/>
    <mergeCell ref="J79:J80"/>
    <mergeCell ref="K79:K80"/>
    <mergeCell ref="L81:L82"/>
    <mergeCell ref="AO81:AP82"/>
    <mergeCell ref="A83:A84"/>
    <mergeCell ref="B83:K84"/>
    <mergeCell ref="L83:L84"/>
    <mergeCell ref="AO83:AP84"/>
    <mergeCell ref="F81:F82"/>
    <mergeCell ref="G81:G82"/>
    <mergeCell ref="H81:H82"/>
    <mergeCell ref="I81:I82"/>
    <mergeCell ref="J81:J82"/>
    <mergeCell ref="K81:K82"/>
  </mergeCells>
  <conditionalFormatting sqref="P10:T11 P30:T31 P50:T51 P70:T71 AR60:AV61">
    <cfRule type="expression" dxfId="90" priority="91">
      <formula>AND(O10=AC15,AC15&lt;&gt;" ")</formula>
    </cfRule>
  </conditionalFormatting>
  <conditionalFormatting sqref="Z10:Z11 Z30:Z31 Z50:Z51 Z70:Z71 BB60:BB61">
    <cfRule type="expression" dxfId="89" priority="90">
      <formula>AND(O10=AC15,AC15&lt;&gt;" ")</formula>
    </cfRule>
  </conditionalFormatting>
  <conditionalFormatting sqref="P20:Y21 P40:Y41 P60:Y61 P80:Y81 AR70:AZ71">
    <cfRule type="expression" dxfId="88" priority="89">
      <formula>AND(O20=AC15,AC15&lt;&gt;" ")</formula>
    </cfRule>
  </conditionalFormatting>
  <conditionalFormatting sqref="Z20:Z21 Z40:Z41 Z60:Z61 Z80:Z81">
    <cfRule type="expression" dxfId="87" priority="88">
      <formula>AND(O20=AC15,AC15&lt;&gt;" ")</formula>
    </cfRule>
  </conditionalFormatting>
  <conditionalFormatting sqref="AR20:AV21">
    <cfRule type="expression" dxfId="86" priority="87">
      <formula>AND(AQ20=BE25,BE25&lt;&gt;" ")</formula>
    </cfRule>
  </conditionalFormatting>
  <conditionalFormatting sqref="BB20:BB21">
    <cfRule type="expression" dxfId="85" priority="86">
      <formula>AND(AQ20=BE25,BE25&lt;&gt;" ")</formula>
    </cfRule>
  </conditionalFormatting>
  <conditionalFormatting sqref="AR30:BA31">
    <cfRule type="expression" dxfId="84" priority="85">
      <formula>AND(AQ30=BE25,BE25&lt;&gt;" ")</formula>
    </cfRule>
  </conditionalFormatting>
  <conditionalFormatting sqref="BB30:BB31">
    <cfRule type="expression" dxfId="83" priority="84">
      <formula>AND(AQ30=BE25,BE25&lt;&gt;" ")</formula>
    </cfRule>
  </conditionalFormatting>
  <conditionalFormatting sqref="AD55:AN56">
    <cfRule type="expression" dxfId="82" priority="83">
      <formula>AND($AC$55=$AQ$30,$AQ$30&lt;&gt;" ")</formula>
    </cfRule>
  </conditionalFormatting>
  <conditionalFormatting sqref="AN75:AN76">
    <cfRule type="expression" dxfId="81" priority="82">
      <formula>AND(AC75=$AQ$30,$AQ$30&lt;&gt;" ")</formula>
    </cfRule>
  </conditionalFormatting>
  <conditionalFormatting sqref="AD75:AM76">
    <cfRule type="expression" dxfId="80" priority="81">
      <formula>AND($AC$75=$AQ$30,$AQ$30&lt;&gt;" ")</formula>
    </cfRule>
  </conditionalFormatting>
  <conditionalFormatting sqref="AD15:AN16">
    <cfRule type="expression" dxfId="79" priority="80">
      <formula>AND($AC$15=$AQ$20,$AQ$20&lt;&gt;" ")</formula>
    </cfRule>
  </conditionalFormatting>
  <conditionalFormatting sqref="AD35:AN36">
    <cfRule type="expression" dxfId="78" priority="79">
      <formula>AND($AC$35=$AQ$20,$AQ$20&lt;&gt;" ")</formula>
    </cfRule>
  </conditionalFormatting>
  <conditionalFormatting sqref="BB70:BB71">
    <cfRule type="expression" dxfId="77" priority="75">
      <formula>AND(AQ70=BE65,BE65&lt;&gt;" ")</formula>
    </cfRule>
  </conditionalFormatting>
  <conditionalFormatting sqref="B7:F8 B17:F18 B27:F28 B37:F38 B47:F48 B57:F58 B67:F68 B77:F78">
    <cfRule type="expression" dxfId="76" priority="74">
      <formula>AND(A7=O10,O10&lt;&gt;" ")</formula>
    </cfRule>
  </conditionalFormatting>
  <conditionalFormatting sqref="L7:L8 L17:L18 L27:L28 L37:L38 L47:L48 L57:L58 L67:L68 L77:L78">
    <cfRule type="expression" dxfId="75" priority="73">
      <formula>AND(A7=O10,O10&lt;&gt;" ")</formula>
    </cfRule>
  </conditionalFormatting>
  <conditionalFormatting sqref="B13:K14 B23:K24 B33:K34 B43:K44 B53:K54 B63:K64 B73:K74 B83:K84">
    <cfRule type="expression" dxfId="74" priority="72">
      <formula>AND(A13=O10,O10&lt;&gt;" ")</formula>
    </cfRule>
  </conditionalFormatting>
  <conditionalFormatting sqref="L13:L14 L23:L24 L33:L34 L43:L44 L53:L54 L63:L64 L73:L74 L83:L84">
    <cfRule type="expression" dxfId="73" priority="71">
      <formula>AND(A13=O10,O10&lt;&gt;" ")</formula>
    </cfRule>
  </conditionalFormatting>
  <conditionalFormatting sqref="A9:A12 A19:A22 A29:A32 A39:A42 A49:A52 A59:A62 A69:A72 A79:A82">
    <cfRule type="expression" dxfId="72" priority="69">
      <formula>AND(MOD(A9,2)=0,A9&lt;&gt;"")</formula>
    </cfRule>
    <cfRule type="expression" dxfId="71" priority="70">
      <formula>AND(MOD(A9,2)=1,A9&lt;&gt;"")</formula>
    </cfRule>
  </conditionalFormatting>
  <conditionalFormatting sqref="A11:A12 A21:A22 A31:A32 A41:A42 A51:A52 A61:A62 A71:A72 A81:A82">
    <cfRule type="expression" dxfId="70" priority="67">
      <formula>AND(MOD(A11,2)=0,A11&lt;&gt;"")</formula>
    </cfRule>
    <cfRule type="expression" dxfId="69" priority="68">
      <formula>AND(MOD(A11,2)=1,A11&lt;&gt;"")</formula>
    </cfRule>
  </conditionalFormatting>
  <conditionalFormatting sqref="O14:O15">
    <cfRule type="expression" dxfId="68" priority="65">
      <formula>AND(MOD(O14,2)=0,O14&lt;&gt;"")</formula>
    </cfRule>
    <cfRule type="expression" dxfId="67" priority="66">
      <formula>AND(MOD(O14,2)=1,O14&lt;&gt;"")</formula>
    </cfRule>
  </conditionalFormatting>
  <conditionalFormatting sqref="O16:O17">
    <cfRule type="expression" dxfId="66" priority="63">
      <formula>AND(MOD(O16,2)=0,O16&lt;&gt;"")</formula>
    </cfRule>
    <cfRule type="expression" dxfId="65" priority="64">
      <formula>AND(MOD(O16,2)=1,O16&lt;&gt;"")</formula>
    </cfRule>
  </conditionalFormatting>
  <conditionalFormatting sqref="O34:O35 O54:O55 O74:O75">
    <cfRule type="expression" dxfId="64" priority="61">
      <formula>AND(MOD(O34,2)=0,O34&lt;&gt;"")</formula>
    </cfRule>
    <cfRule type="expression" dxfId="63" priority="62">
      <formula>AND(MOD(O34,2)=1,O34&lt;&gt;"")</formula>
    </cfRule>
  </conditionalFormatting>
  <conditionalFormatting sqref="O36:O37 O56:O57 O76:O77">
    <cfRule type="expression" dxfId="62" priority="59">
      <formula>AND(MOD(O36,2)=0,O36&lt;&gt;"")</formula>
    </cfRule>
    <cfRule type="expression" dxfId="61" priority="60">
      <formula>AND(MOD(O36,2)=1,O36&lt;&gt;"")</formula>
    </cfRule>
  </conditionalFormatting>
  <conditionalFormatting sqref="AC24:AC25">
    <cfRule type="expression" dxfId="60" priority="57">
      <formula>AND(MOD(AC24,2)=0,AC24&lt;&gt;"")</formula>
    </cfRule>
    <cfRule type="expression" dxfId="59" priority="58">
      <formula>AND(MOD(AC24,2)=1,AC24&lt;&gt;"")</formula>
    </cfRule>
  </conditionalFormatting>
  <conditionalFormatting sqref="AC26:AC27">
    <cfRule type="expression" dxfId="58" priority="55">
      <formula>AND(MOD(AC26,2)=0,AC26&lt;&gt;"")</formula>
    </cfRule>
    <cfRule type="expression" dxfId="57" priority="56">
      <formula>AND(MOD(AC26,2)=1,AC26&lt;&gt;"")</formula>
    </cfRule>
  </conditionalFormatting>
  <conditionalFormatting sqref="AC64:AC65">
    <cfRule type="expression" dxfId="56" priority="53">
      <formula>AND(MOD(AC64,2)=0,AC64&lt;&gt;"")</formula>
    </cfRule>
    <cfRule type="expression" dxfId="55" priority="54">
      <formula>AND(MOD(AC64,2)=1,AC64&lt;&gt;"")</formula>
    </cfRule>
  </conditionalFormatting>
  <conditionalFormatting sqref="AC66:AC67">
    <cfRule type="expression" dxfId="54" priority="51">
      <formula>AND(MOD(AC66,2)=0,AC66&lt;&gt;"")</formula>
    </cfRule>
    <cfRule type="expression" dxfId="53" priority="52">
      <formula>AND(MOD(AC66,2)=1,AC66&lt;&gt;"")</formula>
    </cfRule>
  </conditionalFormatting>
  <conditionalFormatting sqref="AQ24:AQ25">
    <cfRule type="expression" dxfId="52" priority="49">
      <formula>AND(MOD(AQ24,2)=0,AQ24&lt;&gt;"")</formula>
    </cfRule>
    <cfRule type="expression" dxfId="51" priority="50">
      <formula>AND(MOD(AQ24,2)=1,AQ24&lt;&gt;"")</formula>
    </cfRule>
  </conditionalFormatting>
  <conditionalFormatting sqref="AQ26:AQ27">
    <cfRule type="expression" dxfId="50" priority="47">
      <formula>AND(MOD(AQ26,2)=0,AQ26&lt;&gt;"")</formula>
    </cfRule>
    <cfRule type="expression" dxfId="49" priority="48">
      <formula>AND(MOD(AQ26,2)=1,AQ26&lt;&gt;"")</formula>
    </cfRule>
  </conditionalFormatting>
  <conditionalFormatting sqref="AQ64:AQ65">
    <cfRule type="expression" dxfId="48" priority="45">
      <formula>AND(MOD(AQ64,2)=0,AQ64&lt;&gt;"")</formula>
    </cfRule>
    <cfRule type="expression" dxfId="47" priority="46">
      <formula>AND(MOD(AQ64,2)=1,AQ64&lt;&gt;"")</formula>
    </cfRule>
  </conditionalFormatting>
  <conditionalFormatting sqref="AQ66:AQ67">
    <cfRule type="expression" dxfId="46" priority="43">
      <formula>AND(MOD(AQ66,2)=0,AQ66&lt;&gt;"")</formula>
    </cfRule>
    <cfRule type="expression" dxfId="45" priority="44">
      <formula>AND(MOD(AQ66,2)=1,AQ66&lt;&gt;"")</formula>
    </cfRule>
  </conditionalFormatting>
  <conditionalFormatting sqref="O14:O15">
    <cfRule type="expression" dxfId="44" priority="41">
      <formula>AND(MOD(O14,2)=0,O14&lt;&gt;"")</formula>
    </cfRule>
    <cfRule type="expression" dxfId="43" priority="42">
      <formula>AND(MOD(O14,2)=1,O14&lt;&gt;"")</formula>
    </cfRule>
  </conditionalFormatting>
  <conditionalFormatting sqref="O16:O17">
    <cfRule type="expression" dxfId="42" priority="39">
      <formula>AND(MOD(O16,2)=0,O16&lt;&gt;"")</formula>
    </cfRule>
    <cfRule type="expression" dxfId="41" priority="40">
      <formula>AND(MOD(O16,2)=1,O16&lt;&gt;"")</formula>
    </cfRule>
  </conditionalFormatting>
  <conditionalFormatting sqref="O16:O17">
    <cfRule type="expression" dxfId="40" priority="37">
      <formula>AND(MOD(O16,2)=0,O16&lt;&gt;"")</formula>
    </cfRule>
    <cfRule type="expression" dxfId="39" priority="38">
      <formula>AND(MOD(O16,2)=1,O16&lt;&gt;"")</formula>
    </cfRule>
  </conditionalFormatting>
  <conditionalFormatting sqref="O34:O35">
    <cfRule type="expression" dxfId="38" priority="35">
      <formula>AND(MOD(O34,2)=0,O34&lt;&gt;"")</formula>
    </cfRule>
    <cfRule type="expression" dxfId="37" priority="36">
      <formula>AND(MOD(O34,2)=1,O34&lt;&gt;"")</formula>
    </cfRule>
  </conditionalFormatting>
  <conditionalFormatting sqref="O36:O37">
    <cfRule type="expression" dxfId="36" priority="33">
      <formula>AND(MOD(O36,2)=0,O36&lt;&gt;"")</formula>
    </cfRule>
    <cfRule type="expression" dxfId="35" priority="34">
      <formula>AND(MOD(O36,2)=1,O36&lt;&gt;"")</formula>
    </cfRule>
  </conditionalFormatting>
  <conditionalFormatting sqref="O34:O35">
    <cfRule type="expression" dxfId="34" priority="31">
      <formula>AND(MOD(O34,2)=0,O34&lt;&gt;"")</formula>
    </cfRule>
    <cfRule type="expression" dxfId="33" priority="32">
      <formula>AND(MOD(O34,2)=1,O34&lt;&gt;"")</formula>
    </cfRule>
  </conditionalFormatting>
  <conditionalFormatting sqref="O36:O37">
    <cfRule type="expression" dxfId="32" priority="29">
      <formula>AND(MOD(O36,2)=0,O36&lt;&gt;"")</formula>
    </cfRule>
    <cfRule type="expression" dxfId="31" priority="30">
      <formula>AND(MOD(O36,2)=1,O36&lt;&gt;"")</formula>
    </cfRule>
  </conditionalFormatting>
  <conditionalFormatting sqref="O36:O37">
    <cfRule type="expression" dxfId="30" priority="27">
      <formula>AND(MOD(O36,2)=0,O36&lt;&gt;"")</formula>
    </cfRule>
    <cfRule type="expression" dxfId="29" priority="28">
      <formula>AND(MOD(O36,2)=1,O36&lt;&gt;"")</formula>
    </cfRule>
  </conditionalFormatting>
  <conditionalFormatting sqref="AC24:AC25">
    <cfRule type="expression" dxfId="28" priority="25">
      <formula>AND(MOD(AC24,2)=0,AC24&lt;&gt;"")</formula>
    </cfRule>
    <cfRule type="expression" dxfId="27" priority="26">
      <formula>AND(MOD(AC24,2)=1,AC24&lt;&gt;"")</formula>
    </cfRule>
  </conditionalFormatting>
  <conditionalFormatting sqref="AC26:AC27">
    <cfRule type="expression" dxfId="26" priority="23">
      <formula>AND(MOD(AC26,2)=0,AC26&lt;&gt;"")</formula>
    </cfRule>
    <cfRule type="expression" dxfId="25" priority="24">
      <formula>AND(MOD(AC26,2)=1,AC26&lt;&gt;"")</formula>
    </cfRule>
  </conditionalFormatting>
  <conditionalFormatting sqref="AC26:AC27">
    <cfRule type="expression" dxfId="24" priority="21">
      <formula>AND(MOD(AC26,2)=0,AC26&lt;&gt;"")</formula>
    </cfRule>
    <cfRule type="expression" dxfId="23" priority="22">
      <formula>AND(MOD(AC26,2)=1,AC26&lt;&gt;"")</formula>
    </cfRule>
  </conditionalFormatting>
  <conditionalFormatting sqref="AQ24:AQ25">
    <cfRule type="expression" dxfId="22" priority="19">
      <formula>AND(MOD(AQ24,2)=0,AQ24&lt;&gt;"")</formula>
    </cfRule>
    <cfRule type="expression" dxfId="21" priority="20">
      <formula>AND(MOD(AQ24,2)=1,AQ24&lt;&gt;"")</formula>
    </cfRule>
  </conditionalFormatting>
  <conditionalFormatting sqref="AQ24:AQ25">
    <cfRule type="expression" dxfId="20" priority="17">
      <formula>AND(MOD(AQ24,2)=0,AQ24&lt;&gt;"")</formula>
    </cfRule>
    <cfRule type="expression" dxfId="19" priority="18">
      <formula>AND(MOD(AQ24,2)=1,AQ24&lt;&gt;"")</formula>
    </cfRule>
  </conditionalFormatting>
  <conditionalFormatting sqref="AQ26:AQ27">
    <cfRule type="expression" dxfId="18" priority="15">
      <formula>AND(MOD(AQ26,2)=0,AQ26&lt;&gt;"")</formula>
    </cfRule>
    <cfRule type="expression" dxfId="17" priority="16">
      <formula>AND(MOD(AQ26,2)=1,AQ26&lt;&gt;"")</formula>
    </cfRule>
  </conditionalFormatting>
  <conditionalFormatting sqref="AQ64:AQ65">
    <cfRule type="expression" dxfId="16" priority="13">
      <formula>AND(MOD(AQ64,2)=0,AQ64&lt;&gt;"")</formula>
    </cfRule>
    <cfRule type="expression" dxfId="15" priority="14">
      <formula>AND(MOD(AQ64,2)=1,AQ64&lt;&gt;"")</formula>
    </cfRule>
  </conditionalFormatting>
  <conditionalFormatting sqref="AQ66:AQ67">
    <cfRule type="expression" dxfId="14" priority="11">
      <formula>AND(MOD(AQ66,2)=0,AQ66&lt;&gt;"")</formula>
    </cfRule>
    <cfRule type="expression" dxfId="13" priority="12">
      <formula>AND(MOD(AQ66,2)=1,AQ66&lt;&gt;"")</formula>
    </cfRule>
  </conditionalFormatting>
  <conditionalFormatting sqref="AQ64:AQ65">
    <cfRule type="expression" dxfId="12" priority="9">
      <formula>AND(MOD(AQ64,2)=0,AQ64&lt;&gt;"")</formula>
    </cfRule>
    <cfRule type="expression" dxfId="11" priority="10">
      <formula>AND(MOD(AQ64,2)=1,AQ64&lt;&gt;"")</formula>
    </cfRule>
  </conditionalFormatting>
  <conditionalFormatting sqref="AQ64:AQ65">
    <cfRule type="expression" dxfId="10" priority="7">
      <formula>AND(MOD(AQ64,2)=0,AQ64&lt;&gt;"")</formula>
    </cfRule>
    <cfRule type="expression" dxfId="9" priority="8">
      <formula>AND(MOD(AQ64,2)=1,AQ64&lt;&gt;"")</formula>
    </cfRule>
  </conditionalFormatting>
  <conditionalFormatting sqref="AQ66:AQ67">
    <cfRule type="expression" dxfId="8" priority="5">
      <formula>AND(MOD(AQ66,2)=0,AQ66&lt;&gt;"")</formula>
    </cfRule>
    <cfRule type="expression" dxfId="7" priority="6">
      <formula>AND(MOD(AQ66,2)=1,AQ66&lt;&gt;"")</formula>
    </cfRule>
  </conditionalFormatting>
  <conditionalFormatting sqref="BM77:BM88 A53:BD64 A90:XFD1048576 A68:BL89 BM89:XFD89 BS68:XFD72 A1:XFD49 A66:XFD67 BL53:BM64 A65:BM65 A50:BM52 BQ50:XFD65 BP73:BR73 BT73:XFD88 BO77:BO88 BP74:BP88 BQ74:BR76">
    <cfRule type="expression" dxfId="6" priority="4">
      <formula>OR($BE$50&lt;=$BE$52)</formula>
    </cfRule>
  </conditionalFormatting>
  <conditionalFormatting sqref="BA70:BA71">
    <cfRule type="expression" dxfId="5" priority="108">
      <formula>AND(AZ70=#REF!,#REF!&lt;&gt;" ")</formula>
    </cfRule>
  </conditionalFormatting>
  <conditionalFormatting sqref="BN50:BP65">
    <cfRule type="expression" dxfId="4" priority="2">
      <formula>OR($BE$50&lt;=$BE$52)</formula>
    </cfRule>
  </conditionalFormatting>
  <conditionalFormatting sqref="BQ77:BQ80">
    <cfRule type="expression" dxfId="3" priority="1">
      <formula>OR($BE$50&lt;=$BE$52)</formula>
    </cfRule>
  </conditionalFormatting>
  <dataValidations count="1">
    <dataValidation type="whole" allowBlank="1" showInputMessage="1" showErrorMessage="1" sqref="B9:F12 B59:F62 B69:F72 P14:T17 AD24:AH27 AD64:AH67 AR24:AV27 AR64:AV67 B79:F82 B19:F22 B29:F32 B39:F42 B49:F52 P34:T37 P54:T57 P74:T77">
      <formula1>0</formula1>
      <formula2>30</formula2>
    </dataValidation>
  </dataValidations>
  <printOptions horizontalCentered="1" verticalCentered="1"/>
  <pageMargins left="0.39370078740157483" right="0.39370078740157483" top="0.59055118110236227" bottom="0.59055118110236227" header="0" footer="0"/>
  <pageSetup paperSize="9" scale="6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140"/>
  <sheetViews>
    <sheetView showGridLines="0" showRowColHeaders="0" topLeftCell="C1" zoomScaleSheetLayoutView="55" workbookViewId="0">
      <selection activeCell="J10" sqref="J10"/>
    </sheetView>
  </sheetViews>
  <sheetFormatPr defaultColWidth="9.140625" defaultRowHeight="12" x14ac:dyDescent="0.2"/>
  <cols>
    <col min="1" max="1" width="3" style="59" hidden="1" customWidth="1"/>
    <col min="2" max="2" width="7.85546875" style="59" hidden="1" customWidth="1"/>
    <col min="3" max="3" width="5.5703125" style="84" bestFit="1" customWidth="1"/>
    <col min="4" max="4" width="14.42578125" style="59" hidden="1" customWidth="1"/>
    <col min="5" max="5" width="23.85546875" style="59" hidden="1" customWidth="1"/>
    <col min="6" max="6" width="9.85546875" style="59" hidden="1" customWidth="1"/>
    <col min="7" max="7" width="7.5703125" style="59" hidden="1" customWidth="1"/>
    <col min="8" max="8" width="15.140625" style="62" hidden="1" customWidth="1"/>
    <col min="9" max="9" width="5.85546875" style="62" hidden="1" customWidth="1"/>
    <col min="10" max="10" width="20.28515625" style="85" bestFit="1" customWidth="1"/>
    <col min="11" max="11" width="36.28515625" style="84" bestFit="1" customWidth="1"/>
    <col min="12" max="12" width="4.5703125" style="84" bestFit="1" customWidth="1"/>
    <col min="13" max="13" width="5.7109375" style="206" customWidth="1"/>
    <col min="14" max="15" width="5.7109375" style="211" customWidth="1"/>
    <col min="16" max="16" width="5.7109375" style="233" customWidth="1"/>
    <col min="17" max="20" width="5.7109375" style="206" customWidth="1"/>
    <col min="21" max="16384" width="9.140625" style="62"/>
  </cols>
  <sheetData>
    <row r="1" spans="1:20" s="58" customFormat="1" ht="15.75" customHeight="1" x14ac:dyDescent="0.25">
      <c r="A1" s="243" t="str">
        <f>Settings!C5</f>
        <v>22. BOHEMIA CUP - CROSSBOW FIELD</v>
      </c>
      <c r="B1" s="243"/>
      <c r="C1" s="243"/>
      <c r="D1" s="243"/>
      <c r="E1" s="243"/>
      <c r="F1" s="243"/>
      <c r="G1" s="243"/>
      <c r="H1" s="243"/>
      <c r="I1" s="243"/>
      <c r="J1" s="243"/>
      <c r="K1" s="243"/>
      <c r="L1" s="243"/>
      <c r="M1" s="243"/>
      <c r="N1" s="243"/>
      <c r="O1" s="243"/>
      <c r="P1" s="243"/>
      <c r="Q1" s="243"/>
      <c r="R1" s="243"/>
      <c r="S1" s="243"/>
      <c r="T1" s="243"/>
    </row>
    <row r="2" spans="1:20" s="58" customFormat="1" ht="15.75" customHeight="1" x14ac:dyDescent="0.25">
      <c r="A2" s="243" t="str">
        <f>Settings!$C$7&amp;", "&amp;Settings!$C$6</f>
        <v>Nový Stadion, TJ Jiskra, Otrokovice</v>
      </c>
      <c r="B2" s="243"/>
      <c r="C2" s="243"/>
      <c r="D2" s="243"/>
      <c r="E2" s="243"/>
      <c r="F2" s="243"/>
      <c r="G2" s="243"/>
      <c r="H2" s="243"/>
      <c r="I2" s="243"/>
      <c r="J2" s="243"/>
      <c r="K2" s="243"/>
      <c r="L2" s="243"/>
      <c r="M2" s="243"/>
      <c r="N2" s="243"/>
      <c r="O2" s="243"/>
      <c r="P2" s="243"/>
      <c r="Q2" s="243"/>
      <c r="R2" s="243"/>
      <c r="S2" s="243"/>
      <c r="T2" s="243"/>
    </row>
    <row r="3" spans="1:20" s="58" customFormat="1" ht="15.75" customHeight="1" x14ac:dyDescent="0.25">
      <c r="A3" s="243" t="str">
        <f>Settings!$C$8</f>
        <v>14.-16. August 2020</v>
      </c>
      <c r="B3" s="243"/>
      <c r="C3" s="243"/>
      <c r="D3" s="243"/>
      <c r="E3" s="243"/>
      <c r="F3" s="243"/>
      <c r="G3" s="243"/>
      <c r="H3" s="243"/>
      <c r="I3" s="243"/>
      <c r="J3" s="243"/>
      <c r="K3" s="243"/>
      <c r="L3" s="243"/>
      <c r="M3" s="243"/>
      <c r="N3" s="243"/>
      <c r="O3" s="243"/>
      <c r="P3" s="243"/>
      <c r="Q3" s="243"/>
      <c r="R3" s="243"/>
      <c r="S3" s="243"/>
      <c r="T3" s="243"/>
    </row>
    <row r="4" spans="1:20" s="58" customFormat="1" ht="15.75" customHeight="1" x14ac:dyDescent="0.25">
      <c r="A4" s="243" t="str">
        <f>"Match Play - "&amp;Men!BE40</f>
        <v>Match Play - Final Standings</v>
      </c>
      <c r="B4" s="243"/>
      <c r="C4" s="243"/>
      <c r="D4" s="243"/>
      <c r="E4" s="243"/>
      <c r="F4" s="243"/>
      <c r="G4" s="243"/>
      <c r="H4" s="243"/>
      <c r="I4" s="243"/>
      <c r="J4" s="243"/>
      <c r="K4" s="243"/>
      <c r="L4" s="243"/>
      <c r="M4" s="243"/>
      <c r="N4" s="243"/>
      <c r="O4" s="243"/>
      <c r="P4" s="243"/>
      <c r="Q4" s="243"/>
      <c r="R4" s="243"/>
      <c r="S4" s="243"/>
      <c r="T4" s="243"/>
    </row>
    <row r="5" spans="1:20" ht="13.5" customHeight="1" x14ac:dyDescent="0.2">
      <c r="C5" s="60"/>
      <c r="D5" s="61"/>
      <c r="J5" s="63"/>
      <c r="K5" s="64"/>
      <c r="L5" s="64"/>
      <c r="M5" s="205"/>
      <c r="N5" s="208"/>
      <c r="O5" s="208"/>
      <c r="P5" s="231"/>
      <c r="Q5" s="205"/>
      <c r="R5" s="205"/>
      <c r="S5" s="205"/>
      <c r="T5" s="205"/>
    </row>
    <row r="6" spans="1:20" ht="13.5" customHeight="1" x14ac:dyDescent="0.2">
      <c r="A6" s="62"/>
      <c r="B6" s="62"/>
      <c r="C6" s="241" t="s">
        <v>0</v>
      </c>
      <c r="D6" s="67">
        <f>Data!AW4</f>
        <v>44062</v>
      </c>
      <c r="E6" s="54"/>
      <c r="F6" s="62"/>
      <c r="G6" s="62"/>
      <c r="J6" s="246" t="str">
        <f>'Start List'!D6:D7</f>
        <v>Competitor</v>
      </c>
      <c r="K6" s="246" t="str">
        <f>'Start List'!E6:E7</f>
        <v>Country</v>
      </c>
      <c r="L6" s="246" t="str">
        <f>'Start List'!F6:F7</f>
        <v>Cat.</v>
      </c>
      <c r="M6" s="299" t="s">
        <v>720</v>
      </c>
      <c r="N6" s="300"/>
      <c r="O6" s="301"/>
      <c r="P6" s="303"/>
      <c r="Q6" s="302" t="s">
        <v>743</v>
      </c>
      <c r="R6" s="302" t="s">
        <v>744</v>
      </c>
      <c r="S6" s="302" t="s">
        <v>537</v>
      </c>
      <c r="T6" s="302" t="s">
        <v>538</v>
      </c>
    </row>
    <row r="7" spans="1:20" ht="13.5" customHeight="1" x14ac:dyDescent="0.2">
      <c r="A7" s="62"/>
      <c r="B7" s="62"/>
      <c r="C7" s="241"/>
      <c r="D7" s="67">
        <f ca="1">Data!AW5</f>
        <v>44059.610003935188</v>
      </c>
      <c r="E7" s="54"/>
      <c r="F7" s="62"/>
      <c r="G7" s="62"/>
      <c r="J7" s="246"/>
      <c r="K7" s="246"/>
      <c r="L7" s="246"/>
      <c r="M7" s="212" t="str">
        <f>VLOOKUP(Settings!$C$3,Data!$AI$42:$AX$43,'Start List'!W5+1,FALSE)</f>
        <v>Σ</v>
      </c>
      <c r="N7" s="212" t="str">
        <f>VLOOKUP(Settings!$C$3,Data!$AI$42:$AX$43,'Start List'!X5+1,FALSE)</f>
        <v>R10</v>
      </c>
      <c r="O7" s="212">
        <f>VLOOKUP(Settings!$C$3,Data!$AI$42:$AX$43,'Start List'!Y5+1,FALSE)</f>
        <v>10</v>
      </c>
      <c r="P7" s="303"/>
      <c r="Q7" s="302"/>
      <c r="R7" s="302"/>
      <c r="S7" s="302"/>
      <c r="T7" s="302"/>
    </row>
    <row r="8" spans="1:20" s="70" customFormat="1" ht="6.75" customHeight="1" x14ac:dyDescent="0.2">
      <c r="A8" s="68"/>
      <c r="B8" s="68"/>
      <c r="C8" s="69"/>
      <c r="D8" s="69">
        <v>1</v>
      </c>
      <c r="E8" s="68"/>
      <c r="F8" s="68">
        <v>2</v>
      </c>
      <c r="G8" s="68">
        <v>3</v>
      </c>
      <c r="H8" s="70">
        <v>4</v>
      </c>
      <c r="I8" s="70">
        <v>5</v>
      </c>
      <c r="J8" s="71">
        <v>3</v>
      </c>
      <c r="K8" s="69">
        <v>2</v>
      </c>
      <c r="L8" s="69">
        <v>4</v>
      </c>
      <c r="M8" s="69">
        <v>20</v>
      </c>
      <c r="N8" s="209">
        <v>21</v>
      </c>
      <c r="O8" s="209">
        <v>22</v>
      </c>
      <c r="P8" s="232"/>
      <c r="Q8" s="69">
        <v>3</v>
      </c>
      <c r="R8" s="69">
        <v>4</v>
      </c>
      <c r="S8" s="69">
        <v>5</v>
      </c>
      <c r="T8" s="69">
        <v>6</v>
      </c>
    </row>
    <row r="9" spans="1:20" s="78" customFormat="1" ht="12.75" customHeight="1" x14ac:dyDescent="0.2">
      <c r="A9" s="74">
        <v>1</v>
      </c>
      <c r="B9" s="74" t="str">
        <f>IF(A9="","",IF(Data!$AP$6=1,VLOOKUP(SMALL('Start List'!$I$9:$I$139,A9),'Start List'!$I$9:$J$14,2,FALSE),IF(Data!$AP$6=2,'Men-Women'!B9,Data!$AK$2)))</f>
        <v>Men</v>
      </c>
      <c r="C9" s="75" t="str">
        <f>IF(OR(B9="",COUNTIF($B$9:B9,B9)=1),"",COUNTIF($B$9:B9,B9)-1)</f>
        <v/>
      </c>
      <c r="D9" s="76" t="str">
        <f ca="1">IF(""=C9,"",LARGE(INDIRECT(VLOOKUP(B9,'Start List'!$P$9:$U$14,Data!$AP$6+4,FALSE)),C9))</f>
        <v/>
      </c>
      <c r="E9" s="77" t="str">
        <f>""</f>
        <v/>
      </c>
      <c r="F9" s="74"/>
      <c r="G9" s="74"/>
      <c r="J9" s="77" t="str">
        <f ca="1">IF(MAX(A:A)=COUNTIF($B$9:$B$139,$B$9),Data!$AU$8,IF(B9&lt;&gt;B8,B9,IF($D9="","",INDIRECT(H9))))</f>
        <v>Men</v>
      </c>
      <c r="K9" s="77" t="str">
        <f ca="1">IF($D9="","",INDEX('Start List'!$E$15:$E$139,MATCH($D9,'Start List'!$B$15:$B$139,0)))</f>
        <v/>
      </c>
      <c r="L9" s="79" t="str">
        <f ca="1">IF($D9="","",INDEX('Start List'!$F$15:$F$139,MATCH($D9,'Start List'!$B$15:$B$139,0)))</f>
        <v/>
      </c>
      <c r="M9" s="207" t="str">
        <f ca="1">IF($D9="","",INDEX('Start List'!K$15:K$139,MATCH($D9,'Start List'!$B$15:$B$139,0)))</f>
        <v/>
      </c>
      <c r="N9" s="210" t="str">
        <f ca="1">IF($D9="","",INDEX('Start List'!L$15:L$139,MATCH($D9,'Start List'!$B$15:$B$139,0)))</f>
        <v/>
      </c>
      <c r="O9" s="210" t="str">
        <f ca="1">IF($D9="","",INDEX('Start List'!M$15:M$139,MATCH($D9,'Start List'!$B$15:$B$139,0)))</f>
        <v/>
      </c>
      <c r="P9" s="234"/>
      <c r="Q9" s="79" t="str">
        <f>IF($C9="","",INDEX('Start List'!O$15:O$139,MATCH($C9,'Start List'!$B$15:$B$139,0)))</f>
        <v/>
      </c>
      <c r="R9" s="79" t="str">
        <f ca="1">IF($D9="","",INDEX('Start List'!P$15:P$139,MATCH($D9,'Start List'!$B$15:$B$139,0)))</f>
        <v/>
      </c>
      <c r="S9" s="79" t="str">
        <f ca="1">IF($D9="","",INDEX('Start List'!Q$15:Q$139,MATCH($D9,'Start List'!$B$15:$B$139,0)))</f>
        <v/>
      </c>
      <c r="T9" s="79" t="str">
        <f ca="1">IF($D9="","",INDEX('Start List'!R$15:R$139,MATCH($D9,'Start List'!$B$15:$B$139,0)))</f>
        <v/>
      </c>
    </row>
    <row r="10" spans="1:20" ht="12.75" customHeight="1" x14ac:dyDescent="0.2">
      <c r="A10" s="59">
        <f>IF(OR(COUNT('Start List'!A:A)+IF(Data!$AP$6=3,1,IF(Data!$AP$6=2,2,COUNTIF('Start List'!$I$9:$I$14,"&lt;21")))='Match Play Standings'!A9,A9=""),"",'Match Play Standings'!A9+1)</f>
        <v>2</v>
      </c>
      <c r="B10" s="74" t="str">
        <f>IF(A10="","",IF(Data!$AP$6=1,VLOOKUP(SMALL('Start List'!$I$9:$I$139,A10),'Start List'!$I$9:$J$14,2,FALSE),IF(Data!$AP$6=2,'Men-Women'!B10,Data!$AK$2)))</f>
        <v>Men</v>
      </c>
      <c r="C10" s="75">
        <f>IF(OR(B10="",COUNTIF($B$9:B10,B10)=1),"",COUNTIF($B$9:B10,B10)-1)</f>
        <v>1</v>
      </c>
      <c r="D10" s="76">
        <f ca="1">IF(""=C10,"",LARGE(INDIRECT(VLOOKUP(B10,'Start List'!$J$9:$P$14,Data!$AP$6+4,FALSE)),C10))</f>
        <v>1869.422098</v>
      </c>
      <c r="E10" s="77" t="str">
        <f>F10&amp;"$BN$73:$BT$88"</f>
        <v>'Men'!$BN$73:$BT$88</v>
      </c>
      <c r="F10" s="80" t="str">
        <f>"'"&amp;VLOOKUP(B10,Translation!$A$2:$E$72,2,FALSE)&amp;"'!"</f>
        <v>'Men'!</v>
      </c>
      <c r="G10" s="80" t="str">
        <f>INDEX(Data!$AJ$49:$AJ$64,MATCH(C10,Data!$AI$49:$AI$64))</f>
        <v>$BN$73</v>
      </c>
      <c r="H10" s="80" t="str">
        <f>F10&amp;G10</f>
        <v>'Men'!$BN$73</v>
      </c>
      <c r="I10" s="80">
        <f ca="1">VLOOKUP(J10,INDIRECT(E10),2,FALSE)</f>
        <v>1</v>
      </c>
      <c r="J10" s="77" t="str">
        <f ca="1">IF(OR(C10&lt;17,C10=""),IF(B10&lt;&gt;B9,B10,IF($D10="","",INDIRECT(H10))),VLOOKUP(D10,'Start List'!$B$15:$D$120,J$8,FALSE))</f>
        <v>Korbař Bohumil</v>
      </c>
      <c r="K10" s="77" t="str">
        <f ca="1">IF(OR($D10="",J10=""),"",VLOOKUP($J10,'Start List'!$D$15:$Y$120,'Match Play Standings'!K$8,FALSE))</f>
        <v>CZE - Plumlov</v>
      </c>
      <c r="L10" s="79" t="str">
        <f ca="1">IF(OR($D10="",J10=""),"",VLOOKUP($J10,'Start List'!$D$15:$Y$120,'Match Play Standings'!L$8,FALSE))</f>
        <v>M</v>
      </c>
      <c r="M10" s="207">
        <f ca="1">IF(OR($D10="",J10=""),"",VLOOKUP($J10,'Start List'!$D$15:$Y$120,'Match Play Standings'!M$8,FALSE))</f>
        <v>869</v>
      </c>
      <c r="N10" s="210">
        <f ca="1">IF(OR($D10="",J10=""),"",VLOOKUP($J10,'Start List'!$D$15:$Y$120,'Match Play Standings'!N$8,FALSE))</f>
        <v>42</v>
      </c>
      <c r="O10" s="210">
        <f ca="1">IF(OR($D10="",J10=""),"",VLOOKUP($J10,'Start List'!$D$15:$Y$120,'Match Play Standings'!O$8,FALSE))</f>
        <v>21</v>
      </c>
      <c r="P10" s="234">
        <f ca="1">IFERROR(I10-C10,"")</f>
        <v>0</v>
      </c>
      <c r="Q10" s="79" t="str">
        <f ca="1">IF(OR($C10="",$J10=""),"",IF($C10&gt;16,"DNQ",IF(VLOOKUP($J10,INDIRECT($E10),Q$8,FALSE)="0:0","Bye",VLOOKUP($J10,INDIRECT($E10),Q$8,FALSE))))</f>
        <v>6:0</v>
      </c>
      <c r="R10" s="79" t="str">
        <f ca="1">IF(OR($C10="",$J10=""),"",IF($C10&gt;16,"",IF(VLOOKUP($J10,INDIRECT($E10),R$8,FALSE)="0:0","Bye",VLOOKUP($J10,INDIRECT($E10),R$8,FALSE))))</f>
        <v>6:0</v>
      </c>
      <c r="S10" s="79" t="str">
        <f t="shared" ref="S10:T25" ca="1" si="0">IF(OR($C10="",$J10=""),"",IF($C10&gt;16,"",IF(VLOOKUP($J10,INDIRECT($E10),S$8,FALSE)="0:0","Bye",VLOOKUP($J10,INDIRECT($E10),S$8,FALSE))))</f>
        <v>5:1</v>
      </c>
      <c r="T10" s="79" t="str">
        <f t="shared" ca="1" si="0"/>
        <v>5:5</v>
      </c>
    </row>
    <row r="11" spans="1:20" ht="12.75" customHeight="1" x14ac:dyDescent="0.2">
      <c r="A11" s="59">
        <f>IF(OR(COUNT('Start List'!A:A)+IF(Data!$AP$6=3,1,IF(Data!$AP$6=2,2,COUNTIF('Start List'!$I$9:$I$14,"&lt;21")))='Match Play Standings'!A10,A10=""),"",'Match Play Standings'!A10+1)</f>
        <v>3</v>
      </c>
      <c r="B11" s="74" t="str">
        <f>IF(A11="","",IF(Data!$AP$6=1,VLOOKUP(SMALL('Start List'!$I$9:$I$139,A11),'Start List'!$I$9:$J$14,2,FALSE),IF(Data!$AP$6=2,'Men-Women'!B11,Data!$AK$2)))</f>
        <v>Men</v>
      </c>
      <c r="C11" s="75">
        <f>IF(OR(B11="",COUNTIF($B$9:B11,B11)=1),"",COUNTIF($B$9:B11,B11)-1)</f>
        <v>2</v>
      </c>
      <c r="D11" s="76">
        <f ca="1">IF(""=C11,"",LARGE(INDIRECT(VLOOKUP(B11,'Start List'!$J$9:$P$14,Data!$AP$6+4,FALSE)),C11))</f>
        <v>1865.4019989999999</v>
      </c>
      <c r="E11" s="77" t="str">
        <f t="shared" ref="E11:E74" si="1">F11&amp;"$BN$73:$BT$88"</f>
        <v>'Men'!$BN$73:$BT$88</v>
      </c>
      <c r="F11" s="80" t="str">
        <f>"'"&amp;VLOOKUP(B11,Translation!$A$2:$E$72,2,FALSE)&amp;"'!"</f>
        <v>'Men'!</v>
      </c>
      <c r="G11" s="80" t="str">
        <f>INDEX(Data!$AJ$49:$AJ$64,MATCH(C11,Data!$AI$49:$AI$64))</f>
        <v>$BN$74</v>
      </c>
      <c r="H11" s="80" t="str">
        <f t="shared" ref="H11:H74" si="2">F11&amp;G11</f>
        <v>'Men'!$BN$74</v>
      </c>
      <c r="I11" s="80">
        <f t="shared" ref="I11:I74" ca="1" si="3">VLOOKUP(J11,INDIRECT(E11),2,FALSE)</f>
        <v>2</v>
      </c>
      <c r="J11" s="77" t="str">
        <f ca="1">IF(OR(C11&lt;17,C11=""),IF(B11&lt;&gt;B10,B11,IF($D11="","",INDIRECT(H11))),VLOOKUP(D11,'Start List'!$B$15:$D$120,J$8,FALSE))</f>
        <v>Pereglin Domagoj</v>
      </c>
      <c r="K11" s="77" t="str">
        <f ca="1">IF(OR($D11="",J11=""),"",VLOOKUP($J11,'Start List'!$D$15:$Y$120,'Match Play Standings'!K$8,FALSE))</f>
        <v>CRO</v>
      </c>
      <c r="L11" s="79" t="str">
        <f ca="1">IF(OR($D11="",J11=""),"",VLOOKUP($J11,'Start List'!$D$15:$Y$120,'Match Play Standings'!L$8,FALSE))</f>
        <v>M</v>
      </c>
      <c r="M11" s="207">
        <f ca="1">IF(OR($D11="",J11=""),"",VLOOKUP($J11,'Start List'!$D$15:$Y$120,'Match Play Standings'!M$8,FALSE))</f>
        <v>865</v>
      </c>
      <c r="N11" s="210">
        <f ca="1">IF(OR($D11="",J11=""),"",VLOOKUP($J11,'Start List'!$D$15:$Y$120,'Match Play Standings'!N$8,FALSE))</f>
        <v>40</v>
      </c>
      <c r="O11" s="210">
        <f ca="1">IF(OR($D11="",J11=""),"",VLOOKUP($J11,'Start List'!$D$15:$Y$120,'Match Play Standings'!O$8,FALSE))</f>
        <v>20</v>
      </c>
      <c r="P11" s="234">
        <f t="shared" ref="P11:P74" ca="1" si="4">IFERROR(I11-C11,"")</f>
        <v>0</v>
      </c>
      <c r="Q11" s="79" t="str">
        <f t="shared" ref="Q11:Q42" ca="1" si="5">IF(OR($C11="",$J11=""),"",IF($C11&gt;16,"DNQ",IF(VLOOKUP($J11,INDIRECT($E11),Q$8,FALSE)="0:0","Bye",VLOOKUP($J11,INDIRECT($E11),Q$8,FALSE))))</f>
        <v>5:1</v>
      </c>
      <c r="R11" s="79" t="str">
        <f t="shared" ref="R11:T42" ca="1" si="6">IF(OR($C11="",$J11=""),"",IF($C11&gt;16,"",IF(VLOOKUP($J11,INDIRECT($E11),R$8,FALSE)="0:0","Bye",VLOOKUP($J11,INDIRECT($E11),R$8,FALSE))))</f>
        <v>5:1</v>
      </c>
      <c r="S11" s="79" t="str">
        <f t="shared" ca="1" si="0"/>
        <v>5:3</v>
      </c>
      <c r="T11" s="79" t="str">
        <f t="shared" ca="1" si="0"/>
        <v>5:5</v>
      </c>
    </row>
    <row r="12" spans="1:20" ht="12.75" customHeight="1" x14ac:dyDescent="0.2">
      <c r="A12" s="59">
        <f>IF(OR(COUNT('Start List'!A:A)+IF(Data!$AP$6=3,1,IF(Data!$AP$6=2,2,COUNTIF('Start List'!$I$9:$I$14,"&lt;21")))='Match Play Standings'!A11,A11=""),"",'Match Play Standings'!A11+1)</f>
        <v>4</v>
      </c>
      <c r="B12" s="74" t="str">
        <f>IF(A12="","",IF(Data!$AP$6=1,VLOOKUP(SMALL('Start List'!$I$9:$I$139,A12),'Start List'!$I$9:$J$14,2,FALSE),IF(Data!$AP$6=2,'Men-Women'!B12,Data!$AK$2)))</f>
        <v>Men</v>
      </c>
      <c r="C12" s="75">
        <f>IF(OR(B12="",COUNTIF($B$9:B12,B12)=1),"",COUNTIF($B$9:B12,B12)-1)</f>
        <v>3</v>
      </c>
      <c r="D12" s="76">
        <f ca="1">IF(""=C12,"",LARGE(INDIRECT(VLOOKUP(B12,'Start List'!$J$9:$P$14,Data!$AP$6+4,FALSE)),C12))</f>
        <v>1845.391089</v>
      </c>
      <c r="E12" s="77" t="str">
        <f t="shared" si="1"/>
        <v>'Men'!$BN$73:$BT$88</v>
      </c>
      <c r="F12" s="80" t="str">
        <f>"'"&amp;VLOOKUP(B12,Translation!$A$2:$E$72,2,FALSE)&amp;"'!"</f>
        <v>'Men'!</v>
      </c>
      <c r="G12" s="80" t="str">
        <f>INDEX(Data!$AJ$49:$AJ$64,MATCH(C12,Data!$AI$49:$AI$64))</f>
        <v>$BN$75</v>
      </c>
      <c r="H12" s="80" t="str">
        <f t="shared" si="2"/>
        <v>'Men'!$BN$75</v>
      </c>
      <c r="I12" s="80">
        <f t="shared" ca="1" si="3"/>
        <v>3</v>
      </c>
      <c r="J12" s="77" t="str">
        <f ca="1">IF(OR(C12&lt;17,C12=""),IF(B12&lt;&gt;B11,B12,IF($D12="","",INDIRECT(H12))),VLOOKUP(D12,'Start List'!$B$15:$D$120,J$8,FALSE))</f>
        <v>Oborovečki Martin</v>
      </c>
      <c r="K12" s="77" t="str">
        <f ca="1">IF(OR($D12="",J12=""),"",VLOOKUP($J12,'Start List'!$D$15:$Y$120,'Match Play Standings'!K$8,FALSE))</f>
        <v>CRO</v>
      </c>
      <c r="L12" s="79" t="str">
        <f ca="1">IF(OR($D12="",J12=""),"",VLOOKUP($J12,'Start List'!$D$15:$Y$120,'Match Play Standings'!L$8,FALSE))</f>
        <v>M</v>
      </c>
      <c r="M12" s="207">
        <f ca="1">IF(OR($D12="",J12=""),"",VLOOKUP($J12,'Start List'!$D$15:$Y$120,'Match Play Standings'!M$8,FALSE))</f>
        <v>845</v>
      </c>
      <c r="N12" s="210">
        <f ca="1">IF(OR($D12="",J12=""),"",VLOOKUP($J12,'Start List'!$D$15:$Y$120,'Match Play Standings'!N$8,FALSE))</f>
        <v>39</v>
      </c>
      <c r="O12" s="210">
        <f ca="1">IF(OR($D12="",J12=""),"",VLOOKUP($J12,'Start List'!$D$15:$Y$120,'Match Play Standings'!O$8,FALSE))</f>
        <v>11</v>
      </c>
      <c r="P12" s="234">
        <f t="shared" ca="1" si="4"/>
        <v>0</v>
      </c>
      <c r="Q12" s="79" t="str">
        <f t="shared" ca="1" si="5"/>
        <v>6:2</v>
      </c>
      <c r="R12" s="79" t="str">
        <f t="shared" ca="1" si="6"/>
        <v>5:1</v>
      </c>
      <c r="S12" s="79" t="str">
        <f t="shared" ca="1" si="0"/>
        <v>3:5</v>
      </c>
      <c r="T12" s="79" t="str">
        <f t="shared" ca="1" si="0"/>
        <v>5:1</v>
      </c>
    </row>
    <row r="13" spans="1:20" s="78" customFormat="1" ht="12.75" customHeight="1" x14ac:dyDescent="0.2">
      <c r="A13" s="59">
        <f>IF(OR(COUNT('Start List'!A:A)+IF(Data!$AP$6=3,1,IF(Data!$AP$6=2,2,COUNTIF('Start List'!$I$9:$I$14,"&lt;21")))='Match Play Standings'!A12,A12=""),"",'Match Play Standings'!A12+1)</f>
        <v>5</v>
      </c>
      <c r="B13" s="74" t="str">
        <f>IF(A13="","",IF(Data!$AP$6=1,VLOOKUP(SMALL('Start List'!$I$9:$I$139,A13),'Start List'!$I$9:$J$14,2,FALSE),IF(Data!$AP$6=2,'Men-Women'!B13,Data!$AK$2)))</f>
        <v>Men</v>
      </c>
      <c r="C13" s="75">
        <f>IF(OR(B13="",COUNTIF($B$9:B13,B13)=1),"",COUNTIF($B$9:B13,B13)-1)</f>
        <v>4</v>
      </c>
      <c r="D13" s="76">
        <f ca="1">IF(""=C13,"",LARGE(INDIRECT(VLOOKUP(B13,'Start List'!$J$9:$P$14,Data!$AP$6+4,FALSE)),C13))</f>
        <v>1840.3211960000001</v>
      </c>
      <c r="E13" s="77" t="str">
        <f t="shared" si="1"/>
        <v>'Men'!$BN$73:$BT$88</v>
      </c>
      <c r="F13" s="80" t="str">
        <f>"'"&amp;VLOOKUP(B13,Translation!$A$2:$E$72,2,FALSE)&amp;"'!"</f>
        <v>'Men'!</v>
      </c>
      <c r="G13" s="80" t="str">
        <f>INDEX(Data!$AJ$49:$AJ$64,MATCH(C13,Data!$AI$49:$AI$64))</f>
        <v>$BN$76</v>
      </c>
      <c r="H13" s="80" t="str">
        <f t="shared" si="2"/>
        <v>'Men'!$BN$76</v>
      </c>
      <c r="I13" s="80">
        <f t="shared" ca="1" si="3"/>
        <v>4</v>
      </c>
      <c r="J13" s="77" t="str">
        <f ca="1">IF(OR(C13&lt;17,C13=""),IF(B13&lt;&gt;B12,B13,IF($D13="","",INDIRECT(H13))),VLOOKUP(D13,'Start List'!$B$15:$D$120,J$8,FALSE))</f>
        <v>Sváb Sándor</v>
      </c>
      <c r="K13" s="77" t="str">
        <f ca="1">IF(OR($D13="",J13=""),"",VLOOKUP($J13,'Start List'!$D$15:$Y$120,'Match Play Standings'!K$8,FALSE))</f>
        <v>HUN - Hungarian Shooting Federation</v>
      </c>
      <c r="L13" s="79" t="str">
        <f ca="1">IF(OR($D13="",J13=""),"",VLOOKUP($J13,'Start List'!$D$15:$Y$120,'Match Play Standings'!L$8,FALSE))</f>
        <v>M</v>
      </c>
      <c r="M13" s="207">
        <f ca="1">IF(OR($D13="",J13=""),"",VLOOKUP($J13,'Start List'!$D$15:$Y$120,'Match Play Standings'!M$8,FALSE))</f>
        <v>840</v>
      </c>
      <c r="N13" s="210">
        <f ca="1">IF(OR($D13="",J13=""),"",VLOOKUP($J13,'Start List'!$D$15:$Y$120,'Match Play Standings'!N$8,FALSE))</f>
        <v>32</v>
      </c>
      <c r="O13" s="210">
        <f ca="1">IF(OR($D13="",J13=""),"",VLOOKUP($J13,'Start List'!$D$15:$Y$120,'Match Play Standings'!O$8,FALSE))</f>
        <v>12</v>
      </c>
      <c r="P13" s="234">
        <f t="shared" ca="1" si="4"/>
        <v>0</v>
      </c>
      <c r="Q13" s="79" t="str">
        <f t="shared" ca="1" si="5"/>
        <v>7:1</v>
      </c>
      <c r="R13" s="79" t="str">
        <f t="shared" ca="1" si="6"/>
        <v>6:2</v>
      </c>
      <c r="S13" s="79" t="str">
        <f t="shared" ca="1" si="0"/>
        <v>1:5</v>
      </c>
      <c r="T13" s="79" t="str">
        <f t="shared" ca="1" si="0"/>
        <v>1:5</v>
      </c>
    </row>
    <row r="14" spans="1:20" ht="12.75" customHeight="1" x14ac:dyDescent="0.2">
      <c r="A14" s="59">
        <f>IF(OR(COUNT('Start List'!A:A)+IF(Data!$AP$6=3,1,IF(Data!$AP$6=2,2,COUNTIF('Start List'!$I$9:$I$14,"&lt;21")))='Match Play Standings'!A13,A13=""),"",'Match Play Standings'!A13+1)</f>
        <v>6</v>
      </c>
      <c r="B14" s="74" t="str">
        <f>IF(A14="","",IF(Data!$AP$6=1,VLOOKUP(SMALL('Start List'!$I$9:$I$139,A14),'Start List'!$I$9:$J$14,2,FALSE),IF(Data!$AP$6=2,'Men-Women'!B14,Data!$AK$2)))</f>
        <v>Men</v>
      </c>
      <c r="C14" s="75">
        <f>IF(OR(B14="",COUNTIF($B$9:B14,B14)=1),"",COUNTIF($B$9:B14,B14)-1)</f>
        <v>5</v>
      </c>
      <c r="D14" s="76">
        <f ca="1">IF(""=C14,"",LARGE(INDIRECT(VLOOKUP(B14,'Start List'!$J$9:$P$14,Data!$AP$6+4,FALSE)),C14))</f>
        <v>1827.2911859999999</v>
      </c>
      <c r="E14" s="77" t="str">
        <f t="shared" si="1"/>
        <v>'Men'!$BN$73:$BT$88</v>
      </c>
      <c r="F14" s="80" t="str">
        <f>"'"&amp;VLOOKUP(B14,Translation!$A$2:$E$72,2,FALSE)&amp;"'!"</f>
        <v>'Men'!</v>
      </c>
      <c r="G14" s="80" t="str">
        <f>INDEX(Data!$AJ$49:$AJ$64,MATCH(C14,Data!$AI$49:$AI$64))</f>
        <v>$BN$77</v>
      </c>
      <c r="H14" s="80" t="str">
        <f t="shared" si="2"/>
        <v>'Men'!$BN$77</v>
      </c>
      <c r="I14" s="80">
        <f t="shared" ca="1" si="3"/>
        <v>5</v>
      </c>
      <c r="J14" s="77" t="str">
        <f ca="1">IF(OR(C14&lt;17,C14=""),IF(B14&lt;&gt;B13,B14,IF($D14="","",INDIRECT(H14))),VLOOKUP(D14,'Start List'!$B$15:$D$120,J$8,FALSE))</f>
        <v>Petar Blagec</v>
      </c>
      <c r="K14" s="77" t="str">
        <f ca="1">IF(OR($D14="",J14=""),"",VLOOKUP($J14,'Start List'!$D$15:$Y$120,'Match Play Standings'!K$8,FALSE))</f>
        <v>CRO</v>
      </c>
      <c r="L14" s="79" t="str">
        <f ca="1">IF(OR($D14="",J14=""),"",VLOOKUP($J14,'Start List'!$D$15:$Y$120,'Match Play Standings'!L$8,FALSE))</f>
        <v>M</v>
      </c>
      <c r="M14" s="207">
        <f ca="1">IF(OR($D14="",J14=""),"",VLOOKUP($J14,'Start List'!$D$15:$Y$120,'Match Play Standings'!M$8,FALSE))</f>
        <v>827</v>
      </c>
      <c r="N14" s="210">
        <f ca="1">IF(OR($D14="",J14=""),"",VLOOKUP($J14,'Start List'!$D$15:$Y$120,'Match Play Standings'!N$8,FALSE))</f>
        <v>29</v>
      </c>
      <c r="O14" s="210">
        <f ca="1">IF(OR($D14="",J14=""),"",VLOOKUP($J14,'Start List'!$D$15:$Y$120,'Match Play Standings'!O$8,FALSE))</f>
        <v>12</v>
      </c>
      <c r="P14" s="234">
        <f t="shared" ca="1" si="4"/>
        <v>0</v>
      </c>
      <c r="Q14" s="79" t="str">
        <f t="shared" ca="1" si="5"/>
        <v>5:3</v>
      </c>
      <c r="R14" s="79" t="str">
        <f t="shared" ca="1" si="6"/>
        <v>2:6</v>
      </c>
      <c r="S14" s="79" t="str">
        <f t="shared" ca="1" si="0"/>
        <v/>
      </c>
      <c r="T14" s="79" t="str">
        <f t="shared" ca="1" si="0"/>
        <v/>
      </c>
    </row>
    <row r="15" spans="1:20" ht="12.75" customHeight="1" x14ac:dyDescent="0.2">
      <c r="A15" s="59">
        <f>IF(OR(COUNT('Start List'!A:A)+IF(Data!$AP$6=3,1,IF(Data!$AP$6=2,2,COUNTIF('Start List'!$I$9:$I$14,"&lt;21")))='Match Play Standings'!A14,A14=""),"",'Match Play Standings'!A14+1)</f>
        <v>7</v>
      </c>
      <c r="B15" s="74" t="str">
        <f>IF(A15="","",IF(Data!$AP$6=1,VLOOKUP(SMALL('Start List'!$I$9:$I$139,A15),'Start List'!$I$9:$J$14,2,FALSE),IF(Data!$AP$6=2,'Men-Women'!B15,Data!$AK$2)))</f>
        <v>Men</v>
      </c>
      <c r="C15" s="75">
        <f>IF(OR(B15="",COUNTIF($B$9:B15,B15)=1),"",COUNTIF($B$9:B15,B15)-1)</f>
        <v>6</v>
      </c>
      <c r="D15" s="76">
        <f ca="1">IF(""=C15,"",LARGE(INDIRECT(VLOOKUP(B15,'Start List'!$J$9:$P$14,Data!$AP$6+4,FALSE)),C15))</f>
        <v>1810.1710969999999</v>
      </c>
      <c r="E15" s="77" t="str">
        <f t="shared" si="1"/>
        <v>'Men'!$BN$73:$BT$88</v>
      </c>
      <c r="F15" s="80" t="str">
        <f>"'"&amp;VLOOKUP(B15,Translation!$A$2:$E$72,2,FALSE)&amp;"'!"</f>
        <v>'Men'!</v>
      </c>
      <c r="G15" s="80" t="str">
        <f>INDEX(Data!$AJ$49:$AJ$64,MATCH(C15,Data!$AI$49:$AI$64))</f>
        <v>$BN$78</v>
      </c>
      <c r="H15" s="80" t="str">
        <f t="shared" si="2"/>
        <v>'Men'!$BN$78</v>
      </c>
      <c r="I15" s="80">
        <f t="shared" ca="1" si="3"/>
        <v>6</v>
      </c>
      <c r="J15" s="77" t="str">
        <f ca="1">IF(OR(C15&lt;17,C15=""),IF(B15&lt;&gt;B14,B15,IF($D15="","",INDIRECT(H15))),VLOOKUP(D15,'Start List'!$B$15:$D$120,J$8,FALSE))</f>
        <v xml:space="preserve">Tijan Željko </v>
      </c>
      <c r="K15" s="77" t="str">
        <f ca="1">IF(OR($D15="",J15=""),"",VLOOKUP($J15,'Start List'!$D$15:$Y$120,'Match Play Standings'!K$8,FALSE))</f>
        <v>CRO</v>
      </c>
      <c r="L15" s="79" t="str">
        <f ca="1">IF(OR($D15="",J15=""),"",VLOOKUP($J15,'Start List'!$D$15:$Y$120,'Match Play Standings'!L$8,FALSE))</f>
        <v>M</v>
      </c>
      <c r="M15" s="207">
        <f ca="1">IF(OR($D15="",J15=""),"",VLOOKUP($J15,'Start List'!$D$15:$Y$120,'Match Play Standings'!M$8,FALSE))</f>
        <v>810</v>
      </c>
      <c r="N15" s="210">
        <f ca="1">IF(OR($D15="",J15=""),"",VLOOKUP($J15,'Start List'!$D$15:$Y$120,'Match Play Standings'!N$8,FALSE))</f>
        <v>17</v>
      </c>
      <c r="O15" s="210">
        <f ca="1">IF(OR($D15="",J15=""),"",VLOOKUP($J15,'Start List'!$D$15:$Y$120,'Match Play Standings'!O$8,FALSE))</f>
        <v>11</v>
      </c>
      <c r="P15" s="234">
        <f t="shared" ca="1" si="4"/>
        <v>0</v>
      </c>
      <c r="Q15" s="79" t="str">
        <f t="shared" ca="1" si="5"/>
        <v>6:2</v>
      </c>
      <c r="R15" s="79" t="str">
        <f t="shared" ca="1" si="6"/>
        <v>1:5</v>
      </c>
      <c r="S15" s="79" t="str">
        <f t="shared" ca="1" si="0"/>
        <v/>
      </c>
      <c r="T15" s="79" t="str">
        <f t="shared" ca="1" si="0"/>
        <v/>
      </c>
    </row>
    <row r="16" spans="1:20" ht="12.75" customHeight="1" x14ac:dyDescent="0.2">
      <c r="A16" s="59">
        <f>IF(OR(COUNT('Start List'!A:A)+IF(Data!$AP$6=3,1,IF(Data!$AP$6=2,2,COUNTIF('Start List'!$I$9:$I$14,"&lt;21")))='Match Play Standings'!A15,A15=""),"",'Match Play Standings'!A15+1)</f>
        <v>8</v>
      </c>
      <c r="B16" s="74" t="str">
        <f>IF(A16="","",IF(Data!$AP$6=1,VLOOKUP(SMALL('Start List'!$I$9:$I$139,A16),'Start List'!$I$9:$J$14,2,FALSE),IF(Data!$AP$6=2,'Men-Women'!B16,Data!$AK$2)))</f>
        <v>Men</v>
      </c>
      <c r="C16" s="75">
        <f>IF(OR(B16="",COUNTIF($B$9:B16,B16)=1),"",COUNTIF($B$9:B16,B16)-1)</f>
        <v>7</v>
      </c>
      <c r="D16" s="76">
        <f ca="1">IF(""=C16,"",LARGE(INDIRECT(VLOOKUP(B16,'Start List'!$J$9:$P$14,Data!$AP$6+4,FALSE)),C16))</f>
        <v>1802.2407760000001</v>
      </c>
      <c r="E16" s="77" t="str">
        <f t="shared" si="1"/>
        <v>'Men'!$BN$73:$BT$88</v>
      </c>
      <c r="F16" s="80" t="str">
        <f>"'"&amp;VLOOKUP(B16,Translation!$A$2:$E$72,2,FALSE)&amp;"'!"</f>
        <v>'Men'!</v>
      </c>
      <c r="G16" s="80" t="str">
        <f>INDEX(Data!$AJ$49:$AJ$64,MATCH(C16,Data!$AI$49:$AI$64))</f>
        <v>$BN$79</v>
      </c>
      <c r="H16" s="80" t="str">
        <f t="shared" si="2"/>
        <v>'Men'!$BN$79</v>
      </c>
      <c r="I16" s="80">
        <f t="shared" ca="1" si="3"/>
        <v>7</v>
      </c>
      <c r="J16" s="77" t="str">
        <f ca="1">IF(OR(C16&lt;17,C16=""),IF(B16&lt;&gt;B15,B16,IF($D16="","",INDIRECT(H16))),VLOOKUP(D16,'Start List'!$B$15:$D$120,J$8,FALSE))</f>
        <v>Nedělník Josef</v>
      </c>
      <c r="K16" s="77" t="str">
        <f ca="1">IF(OR($D16="",J16=""),"",VLOOKUP($J16,'Start List'!$D$15:$Y$120,'Match Play Standings'!K$8,FALSE))</f>
        <v>CZE - Savana</v>
      </c>
      <c r="L16" s="79" t="str">
        <f ca="1">IF(OR($D16="",J16=""),"",VLOOKUP($J16,'Start List'!$D$15:$Y$120,'Match Play Standings'!L$8,FALSE))</f>
        <v>M</v>
      </c>
      <c r="M16" s="207">
        <f ca="1">IF(OR($D16="",J16=""),"",VLOOKUP($J16,'Start List'!$D$15:$Y$120,'Match Play Standings'!M$8,FALSE))</f>
        <v>802</v>
      </c>
      <c r="N16" s="210">
        <f ca="1">IF(OR($D16="",J16=""),"",VLOOKUP($J16,'Start List'!$D$15:$Y$120,'Match Play Standings'!N$8,FALSE))</f>
        <v>24</v>
      </c>
      <c r="O16" s="210">
        <f ca="1">IF(OR($D16="",J16=""),"",VLOOKUP($J16,'Start List'!$D$15:$Y$120,'Match Play Standings'!O$8,FALSE))</f>
        <v>8</v>
      </c>
      <c r="P16" s="234">
        <f t="shared" ca="1" si="4"/>
        <v>0</v>
      </c>
      <c r="Q16" s="79" t="str">
        <f t="shared" ca="1" si="5"/>
        <v>6:0</v>
      </c>
      <c r="R16" s="79" t="str">
        <f t="shared" ca="1" si="6"/>
        <v>1:5</v>
      </c>
      <c r="S16" s="79" t="str">
        <f t="shared" ca="1" si="0"/>
        <v/>
      </c>
      <c r="T16" s="79" t="str">
        <f t="shared" ca="1" si="0"/>
        <v/>
      </c>
    </row>
    <row r="17" spans="1:20" s="81" customFormat="1" ht="12.75" customHeight="1" x14ac:dyDescent="0.2">
      <c r="A17" s="59">
        <f>IF(OR(COUNT('Start List'!A:A)+IF(Data!$AP$6=3,1,IF(Data!$AP$6=2,2,COUNTIF('Start List'!$I$9:$I$14,"&lt;21")))='Match Play Standings'!A16,A16=""),"",'Match Play Standings'!A16+1)</f>
        <v>9</v>
      </c>
      <c r="B17" s="74" t="str">
        <f>IF(A17="","",IF(Data!$AP$6=1,VLOOKUP(SMALL('Start List'!$I$9:$I$139,A17),'Start List'!$I$9:$J$14,2,FALSE),IF(Data!$AP$6=2,'Men-Women'!B17,Data!$AK$2)))</f>
        <v>Men</v>
      </c>
      <c r="C17" s="75">
        <f>IF(OR(B17="",COUNTIF($B$9:B17,B17)=1),"",COUNTIF($B$9:B17,B17)-1)</f>
        <v>8</v>
      </c>
      <c r="D17" s="76">
        <f ca="1">IF(""=C17,"",LARGE(INDIRECT(VLOOKUP(B17,'Start List'!$J$9:$P$14,Data!$AP$6+4,FALSE)),C17))</f>
        <v>1796.160977</v>
      </c>
      <c r="E17" s="77" t="str">
        <f t="shared" si="1"/>
        <v>'Men'!$BN$73:$BT$88</v>
      </c>
      <c r="F17" s="80" t="str">
        <f>"'"&amp;VLOOKUP(B17,Translation!$A$2:$E$72,2,FALSE)&amp;"'!"</f>
        <v>'Men'!</v>
      </c>
      <c r="G17" s="80" t="str">
        <f>INDEX(Data!$AJ$49:$AJ$64,MATCH(C17,Data!$AI$49:$AI$64))</f>
        <v>$BN$80</v>
      </c>
      <c r="H17" s="80" t="str">
        <f t="shared" si="2"/>
        <v>'Men'!$BN$80</v>
      </c>
      <c r="I17" s="80">
        <f t="shared" ca="1" si="3"/>
        <v>9</v>
      </c>
      <c r="J17" s="77" t="str">
        <f ca="1">IF(OR(C17&lt;17,C17=""),IF(B17&lt;&gt;B16,B17,IF($D17="","",INDIRECT(H17))),VLOOKUP(D17,'Start List'!$B$15:$D$120,J$8,FALSE))</f>
        <v>Mátrai István</v>
      </c>
      <c r="K17" s="77" t="str">
        <f ca="1">IF(OR($D17="",J17=""),"",VLOOKUP($J17,'Start List'!$D$15:$Y$120,'Match Play Standings'!K$8,FALSE))</f>
        <v>HUN - Hungarian Shooting Federation</v>
      </c>
      <c r="L17" s="79" t="str">
        <f ca="1">IF(OR($D17="",J17=""),"",VLOOKUP($J17,'Start List'!$D$15:$Y$120,'Match Play Standings'!L$8,FALSE))</f>
        <v>M</v>
      </c>
      <c r="M17" s="207">
        <f ca="1">IF(OR($D17="",J17=""),"",VLOOKUP($J17,'Start List'!$D$15:$Y$120,'Match Play Standings'!M$8,FALSE))</f>
        <v>774</v>
      </c>
      <c r="N17" s="210">
        <f ca="1">IF(OR($D17="",J17=""),"",VLOOKUP($J17,'Start List'!$D$15:$Y$120,'Match Play Standings'!N$8,FALSE))</f>
        <v>13</v>
      </c>
      <c r="O17" s="210">
        <f ca="1">IF(OR($D17="",J17=""),"",VLOOKUP($J17,'Start List'!$D$15:$Y$120,'Match Play Standings'!O$8,FALSE))</f>
        <v>10</v>
      </c>
      <c r="P17" s="234">
        <f t="shared" ca="1" si="4"/>
        <v>1</v>
      </c>
      <c r="Q17" s="79" t="str">
        <f t="shared" ca="1" si="5"/>
        <v>6:0</v>
      </c>
      <c r="R17" s="79" t="str">
        <f t="shared" ca="1" si="6"/>
        <v>0:6</v>
      </c>
      <c r="S17" s="79" t="str">
        <f t="shared" ca="1" si="0"/>
        <v/>
      </c>
      <c r="T17" s="79" t="str">
        <f t="shared" ca="1" si="0"/>
        <v/>
      </c>
    </row>
    <row r="18" spans="1:20" s="82" customFormat="1" ht="12.75" customHeight="1" x14ac:dyDescent="0.2">
      <c r="A18" s="59">
        <f>IF(OR(COUNT('Start List'!A:A)+IF(Data!$AP$6=3,1,IF(Data!$AP$6=2,2,COUNTIF('Start List'!$I$9:$I$14,"&lt;21")))='Match Play Standings'!A17,A17=""),"",'Match Play Standings'!A17+1)</f>
        <v>10</v>
      </c>
      <c r="B18" s="74" t="str">
        <f>IF(A18="","",IF(Data!$AP$6=1,VLOOKUP(SMALL('Start List'!$I$9:$I$139,A18),'Start List'!$I$9:$J$14,2,FALSE),IF(Data!$AP$6=2,'Men-Women'!B18,Data!$AK$2)))</f>
        <v>Men</v>
      </c>
      <c r="C18" s="75">
        <f>IF(OR(B18="",COUNTIF($B$9:B18,B18)=1),"",COUNTIF($B$9:B18,B18)-1)</f>
        <v>9</v>
      </c>
      <c r="D18" s="76">
        <f ca="1">IF(""=C18,"",LARGE(INDIRECT(VLOOKUP(B18,'Start List'!$J$9:$P$14,Data!$AP$6+4,FALSE)),C18))</f>
        <v>1774.130975</v>
      </c>
      <c r="E18" s="77" t="str">
        <f t="shared" si="1"/>
        <v>'Men'!$BN$73:$BT$88</v>
      </c>
      <c r="F18" s="80" t="str">
        <f>"'"&amp;VLOOKUP(B18,Translation!$A$2:$E$72,2,FALSE)&amp;"'!"</f>
        <v>'Men'!</v>
      </c>
      <c r="G18" s="80" t="str">
        <f>INDEX(Data!$AJ$49:$AJ$64,MATCH(C18,Data!$AI$49:$AI$64))</f>
        <v>$BN$81</v>
      </c>
      <c r="H18" s="80" t="str">
        <f t="shared" si="2"/>
        <v>'Men'!$BN$81</v>
      </c>
      <c r="I18" s="80">
        <f t="shared" ca="1" si="3"/>
        <v>8</v>
      </c>
      <c r="J18" s="77" t="str">
        <f ca="1">IF(OR(C18&lt;17,C18=""),IF(B18&lt;&gt;B17,B18,IF($D18="","",INDIRECT(H18))),VLOOKUP(D18,'Start List'!$B$15:$D$120,J$8,FALSE))</f>
        <v>Fran Županić</v>
      </c>
      <c r="K18" s="77" t="str">
        <f ca="1">IF(OR($D18="",J18=""),"",VLOOKUP($J18,'Start List'!$D$15:$Y$120,'Match Play Standings'!K$8,FALSE))</f>
        <v>CRO</v>
      </c>
      <c r="L18" s="79" t="str">
        <f ca="1">IF(OR($D18="",J18=""),"",VLOOKUP($J18,'Start List'!$D$15:$Y$120,'Match Play Standings'!L$8,FALSE))</f>
        <v>M</v>
      </c>
      <c r="M18" s="207">
        <f ca="1">IF(OR($D18="",J18=""),"",VLOOKUP($J18,'Start List'!$D$15:$Y$120,'Match Play Standings'!M$8,FALSE))</f>
        <v>796</v>
      </c>
      <c r="N18" s="210">
        <f ca="1">IF(OR($D18="",J18=""),"",VLOOKUP($J18,'Start List'!$D$15:$Y$120,'Match Play Standings'!N$8,FALSE))</f>
        <v>16</v>
      </c>
      <c r="O18" s="210">
        <f ca="1">IF(OR($D18="",J18=""),"",VLOOKUP($J18,'Start List'!$D$15:$Y$120,'Match Play Standings'!O$8,FALSE))</f>
        <v>10</v>
      </c>
      <c r="P18" s="234">
        <f t="shared" ca="1" si="4"/>
        <v>-1</v>
      </c>
      <c r="Q18" s="79" t="str">
        <f t="shared" ca="1" si="5"/>
        <v>0:6</v>
      </c>
      <c r="R18" s="79" t="str">
        <f t="shared" ca="1" si="6"/>
        <v/>
      </c>
      <c r="S18" s="79" t="str">
        <f t="shared" ca="1" si="0"/>
        <v/>
      </c>
      <c r="T18" s="79" t="str">
        <f t="shared" ca="1" si="0"/>
        <v/>
      </c>
    </row>
    <row r="19" spans="1:20" s="82" customFormat="1" ht="12.75" customHeight="1" x14ac:dyDescent="0.2">
      <c r="A19" s="59">
        <f>IF(OR(COUNT('Start List'!A:A)+IF(Data!$AP$6=3,1,IF(Data!$AP$6=2,2,COUNTIF('Start List'!$I$9:$I$14,"&lt;21")))='Match Play Standings'!A18,A18=""),"",'Match Play Standings'!A18+1)</f>
        <v>11</v>
      </c>
      <c r="B19" s="74" t="str">
        <f>IF(A19="","",IF(Data!$AP$6=1,VLOOKUP(SMALL('Start List'!$I$9:$I$139,A19),'Start List'!$I$9:$J$14,2,FALSE),IF(Data!$AP$6=2,'Men-Women'!B19,Data!$AK$2)))</f>
        <v>Men</v>
      </c>
      <c r="C19" s="75">
        <f>IF(OR(B19="",COUNTIF($B$9:B19,B19)=1),"",COUNTIF($B$9:B19,B19)-1)</f>
        <v>10</v>
      </c>
      <c r="D19" s="76">
        <f ca="1">IF(""=C19,"",LARGE(INDIRECT(VLOOKUP(B19,'Start List'!$J$9:$P$14,Data!$AP$6+4,FALSE)),C19))</f>
        <v>1770.1307830000001</v>
      </c>
      <c r="E19" s="77" t="str">
        <f t="shared" si="1"/>
        <v>'Men'!$BN$73:$BT$88</v>
      </c>
      <c r="F19" s="80" t="str">
        <f>"'"&amp;VLOOKUP(B19,Translation!$A$2:$E$72,2,FALSE)&amp;"'!"</f>
        <v>'Men'!</v>
      </c>
      <c r="G19" s="80" t="str">
        <f>INDEX(Data!$AJ$49:$AJ$64,MATCH(C19,Data!$AI$49:$AI$64))</f>
        <v>$BN$82</v>
      </c>
      <c r="H19" s="80" t="str">
        <f t="shared" si="2"/>
        <v>'Men'!$BN$82</v>
      </c>
      <c r="I19" s="80">
        <f t="shared" ca="1" si="3"/>
        <v>10</v>
      </c>
      <c r="J19" s="77" t="str">
        <f ca="1">IF(OR(C19&lt;17,C19=""),IF(B19&lt;&gt;B18,B19,IF($D19="","",INDIRECT(H19))),VLOOKUP(D19,'Start List'!$B$15:$D$120,J$8,FALSE))</f>
        <v>Vyskočil Denis</v>
      </c>
      <c r="K19" s="77" t="str">
        <f ca="1">IF(OR($D19="",J19=""),"",VLOOKUP($J19,'Start List'!$D$15:$Y$120,'Match Play Standings'!K$8,FALSE))</f>
        <v>CZE - Falcon Crossbow Plumlov</v>
      </c>
      <c r="L19" s="79" t="str">
        <f ca="1">IF(OR($D19="",J19=""),"",VLOOKUP($J19,'Start List'!$D$15:$Y$120,'Match Play Standings'!L$8,FALSE))</f>
        <v>M</v>
      </c>
      <c r="M19" s="207">
        <f ca="1">IF(OR($D19="",J19=""),"",VLOOKUP($J19,'Start List'!$D$15:$Y$120,'Match Play Standings'!M$8,FALSE))</f>
        <v>770</v>
      </c>
      <c r="N19" s="210">
        <f ca="1">IF(OR($D19="",J19=""),"",VLOOKUP($J19,'Start List'!$D$15:$Y$120,'Match Play Standings'!N$8,FALSE))</f>
        <v>13</v>
      </c>
      <c r="O19" s="210">
        <f ca="1">IF(OR($D19="",J19=""),"",VLOOKUP($J19,'Start List'!$D$15:$Y$120,'Match Play Standings'!O$8,FALSE))</f>
        <v>8</v>
      </c>
      <c r="P19" s="234">
        <f t="shared" ca="1" si="4"/>
        <v>0</v>
      </c>
      <c r="Q19" s="79" t="str">
        <f t="shared" ca="1" si="5"/>
        <v>0:6</v>
      </c>
      <c r="R19" s="79" t="str">
        <f t="shared" ca="1" si="6"/>
        <v/>
      </c>
      <c r="S19" s="79" t="str">
        <f t="shared" ca="1" si="0"/>
        <v/>
      </c>
      <c r="T19" s="79" t="str">
        <f t="shared" ca="1" si="0"/>
        <v/>
      </c>
    </row>
    <row r="20" spans="1:20" s="83" customFormat="1" ht="12.75" customHeight="1" x14ac:dyDescent="0.2">
      <c r="A20" s="59">
        <f>IF(OR(COUNT('Start List'!A:A)+IF(Data!$AP$6=3,1,IF(Data!$AP$6=2,2,COUNTIF('Start List'!$I$9:$I$14,"&lt;21")))='Match Play Standings'!A19,A19=""),"",'Match Play Standings'!A19+1)</f>
        <v>12</v>
      </c>
      <c r="B20" s="74" t="str">
        <f>IF(A20="","",IF(Data!$AP$6=1,VLOOKUP(SMALL('Start List'!$I$9:$I$139,A20),'Start List'!$I$9:$J$14,2,FALSE),IF(Data!$AP$6=2,'Men-Women'!B20,Data!$AK$2)))</f>
        <v>Men</v>
      </c>
      <c r="C20" s="75">
        <f>IF(OR(B20="",COUNTIF($B$9:B20,B20)=1),"",COUNTIF($B$9:B20,B20)-1)</f>
        <v>11</v>
      </c>
      <c r="D20" s="76">
        <f ca="1">IF(""=C20,"",LARGE(INDIRECT(VLOOKUP(B20,'Start List'!$J$9:$P$14,Data!$AP$6+4,FALSE)),C20))</f>
        <v>1760.120688</v>
      </c>
      <c r="E20" s="77" t="str">
        <f t="shared" si="1"/>
        <v>'Men'!$BN$73:$BT$88</v>
      </c>
      <c r="F20" s="80" t="str">
        <f>"'"&amp;VLOOKUP(B20,Translation!$A$2:$E$72,2,FALSE)&amp;"'!"</f>
        <v>'Men'!</v>
      </c>
      <c r="G20" s="80" t="str">
        <f>INDEX(Data!$AJ$49:$AJ$64,MATCH(C20,Data!$AI$49:$AI$64))</f>
        <v>$BN$83</v>
      </c>
      <c r="H20" s="80" t="str">
        <f t="shared" si="2"/>
        <v>'Men'!$BN$83</v>
      </c>
      <c r="I20" s="80">
        <f t="shared" ca="1" si="3"/>
        <v>11</v>
      </c>
      <c r="J20" s="77" t="str">
        <f ca="1">IF(OR(C20&lt;17,C20=""),IF(B20&lt;&gt;B19,B20,IF($D20="","",INDIRECT(H20))),VLOOKUP(D20,'Start List'!$B$15:$D$120,J$8,FALSE))</f>
        <v>Andrés Lukáš</v>
      </c>
      <c r="K20" s="77" t="str">
        <f ca="1">IF(OR($D20="",J20=""),"",VLOOKUP($J20,'Start List'!$D$15:$Y$120,'Match Play Standings'!K$8,FALSE))</f>
        <v>CZE - Savana</v>
      </c>
      <c r="L20" s="79" t="str">
        <f ca="1">IF(OR($D20="",J20=""),"",VLOOKUP($J20,'Start List'!$D$15:$Y$120,'Match Play Standings'!L$8,FALSE))</f>
        <v>M</v>
      </c>
      <c r="M20" s="207">
        <f ca="1">IF(OR($D20="",J20=""),"",VLOOKUP($J20,'Start List'!$D$15:$Y$120,'Match Play Standings'!M$8,FALSE))</f>
        <v>760</v>
      </c>
      <c r="N20" s="210">
        <f ca="1">IF(OR($D20="",J20=""),"",VLOOKUP($J20,'Start List'!$D$15:$Y$120,'Match Play Standings'!N$8,FALSE))</f>
        <v>12</v>
      </c>
      <c r="O20" s="210">
        <f ca="1">IF(OR($D20="",J20=""),"",VLOOKUP($J20,'Start List'!$D$15:$Y$120,'Match Play Standings'!O$8,FALSE))</f>
        <v>7</v>
      </c>
      <c r="P20" s="234">
        <f t="shared" ca="1" si="4"/>
        <v>0</v>
      </c>
      <c r="Q20" s="79" t="str">
        <f t="shared" ca="1" si="5"/>
        <v>2:6</v>
      </c>
      <c r="R20" s="79" t="str">
        <f t="shared" ca="1" si="6"/>
        <v/>
      </c>
      <c r="S20" s="79" t="str">
        <f t="shared" ca="1" si="0"/>
        <v/>
      </c>
      <c r="T20" s="79" t="str">
        <f t="shared" ca="1" si="0"/>
        <v/>
      </c>
    </row>
    <row r="21" spans="1:20" s="83" customFormat="1" ht="12.75" customHeight="1" collapsed="1" x14ac:dyDescent="0.2">
      <c r="A21" s="59">
        <f>IF(OR(COUNT('Start List'!A:A)+IF(Data!$AP$6=3,1,IF(Data!$AP$6=2,2,COUNTIF('Start List'!$I$9:$I$14,"&lt;21")))='Match Play Standings'!A20,A20=""),"",'Match Play Standings'!A20+1)</f>
        <v>13</v>
      </c>
      <c r="B21" s="74" t="str">
        <f>IF(A21="","",IF(Data!$AP$6=1,VLOOKUP(SMALL('Start List'!$I$9:$I$139,A21),'Start List'!$I$9:$J$14,2,FALSE),IF(Data!$AP$6=2,'Men-Women'!B21,Data!$AK$2)))</f>
        <v>Men</v>
      </c>
      <c r="C21" s="75">
        <f>IF(OR(B21="",COUNTIF($B$9:B21,B21)=1),"",COUNTIF($B$9:B21,B21)-1)</f>
        <v>12</v>
      </c>
      <c r="D21" s="76">
        <f ca="1">IF(""=C21,"",LARGE(INDIRECT(VLOOKUP(B21,'Start List'!$J$9:$P$14,Data!$AP$6+4,FALSE)),C21))</f>
        <v>1755.1303780000001</v>
      </c>
      <c r="E21" s="77" t="str">
        <f t="shared" si="1"/>
        <v>'Men'!$BN$73:$BT$88</v>
      </c>
      <c r="F21" s="80" t="str">
        <f>"'"&amp;VLOOKUP(B21,Translation!$A$2:$E$72,2,FALSE)&amp;"'!"</f>
        <v>'Men'!</v>
      </c>
      <c r="G21" s="80" t="str">
        <f>INDEX(Data!$AJ$49:$AJ$64,MATCH(C21,Data!$AI$49:$AI$64))</f>
        <v>$BN$84</v>
      </c>
      <c r="H21" s="80" t="str">
        <f t="shared" si="2"/>
        <v>'Men'!$BN$84</v>
      </c>
      <c r="I21" s="80">
        <f t="shared" ca="1" si="3"/>
        <v>12</v>
      </c>
      <c r="J21" s="77" t="str">
        <f ca="1">IF(OR(C21&lt;17,C21=""),IF(B21&lt;&gt;B20,B21,IF($D21="","",INDIRECT(H21))),VLOOKUP(D21,'Start List'!$B$15:$D$120,J$8,FALSE))</f>
        <v>Kratochvíla Pavel</v>
      </c>
      <c r="K21" s="77" t="str">
        <f ca="1">IF(OR($D21="",J21=""),"",VLOOKUP($J21,'Start List'!$D$15:$Y$120,'Match Play Standings'!K$8,FALSE))</f>
        <v>CZE - Plumlov</v>
      </c>
      <c r="L21" s="79" t="str">
        <f ca="1">IF(OR($D21="",J21=""),"",VLOOKUP($J21,'Start List'!$D$15:$Y$120,'Match Play Standings'!L$8,FALSE))</f>
        <v>M</v>
      </c>
      <c r="M21" s="207">
        <f ca="1">IF(OR($D21="",J21=""),"",VLOOKUP($J21,'Start List'!$D$15:$Y$120,'Match Play Standings'!M$8,FALSE))</f>
        <v>755</v>
      </c>
      <c r="N21" s="210">
        <f ca="1">IF(OR($D21="",J21=""),"",VLOOKUP($J21,'Start List'!$D$15:$Y$120,'Match Play Standings'!N$8,FALSE))</f>
        <v>13</v>
      </c>
      <c r="O21" s="210">
        <f ca="1">IF(OR($D21="",J21=""),"",VLOOKUP($J21,'Start List'!$D$15:$Y$120,'Match Play Standings'!O$8,FALSE))</f>
        <v>4</v>
      </c>
      <c r="P21" s="234">
        <f t="shared" ca="1" si="4"/>
        <v>0</v>
      </c>
      <c r="Q21" s="79" t="str">
        <f t="shared" ca="1" si="5"/>
        <v>3:5</v>
      </c>
      <c r="R21" s="79" t="str">
        <f t="shared" ca="1" si="6"/>
        <v/>
      </c>
      <c r="S21" s="79" t="str">
        <f t="shared" ca="1" si="0"/>
        <v/>
      </c>
      <c r="T21" s="79" t="str">
        <f t="shared" ca="1" si="0"/>
        <v/>
      </c>
    </row>
    <row r="22" spans="1:20" s="83" customFormat="1" ht="12.75" customHeight="1" collapsed="1" x14ac:dyDescent="0.2">
      <c r="A22" s="59">
        <f>IF(OR(COUNT('Start List'!A:A)+IF(Data!$AP$6=3,1,IF(Data!$AP$6=2,2,COUNTIF('Start List'!$I$9:$I$14,"&lt;21")))='Match Play Standings'!A21,A21=""),"",'Match Play Standings'!A21+1)</f>
        <v>14</v>
      </c>
      <c r="B22" s="74" t="str">
        <f>IF(A22="","",IF(Data!$AP$6=1,VLOOKUP(SMALL('Start List'!$I$9:$I$139,A22),'Start List'!$I$9:$J$14,2,FALSE),IF(Data!$AP$6=2,'Men-Women'!B22,Data!$AK$2)))</f>
        <v>Men</v>
      </c>
      <c r="C22" s="75">
        <f>IF(OR(B22="",COUNTIF($B$9:B22,B22)=1),"",COUNTIF($B$9:B22,B22)-1)</f>
        <v>13</v>
      </c>
      <c r="D22" s="76">
        <f ca="1">IF(""=C22,"",LARGE(INDIRECT(VLOOKUP(B22,'Start List'!$J$9:$P$14,Data!$AP$6+4,FALSE)),C22))</f>
        <v>1737.1105729999999</v>
      </c>
      <c r="E22" s="77" t="str">
        <f t="shared" si="1"/>
        <v>'Men'!$BN$73:$BT$88</v>
      </c>
      <c r="F22" s="80" t="str">
        <f>"'"&amp;VLOOKUP(B22,Translation!$A$2:$E$72,2,FALSE)&amp;"'!"</f>
        <v>'Men'!</v>
      </c>
      <c r="G22" s="80" t="str">
        <f>INDEX(Data!$AJ$49:$AJ$64,MATCH(C22,Data!$AI$49:$AI$64))</f>
        <v>$BN$85</v>
      </c>
      <c r="H22" s="80" t="str">
        <f t="shared" si="2"/>
        <v>'Men'!$BN$85</v>
      </c>
      <c r="I22" s="80">
        <f t="shared" ca="1" si="3"/>
        <v>13</v>
      </c>
      <c r="J22" s="77" t="str">
        <f ca="1">IF(OR(C22&lt;17,C22=""),IF(B22&lt;&gt;B21,B22,IF($D22="","",INDIRECT(H22))),VLOOKUP(D22,'Start List'!$B$15:$D$120,J$8,FALSE))</f>
        <v>Losert Václav</v>
      </c>
      <c r="K22" s="77" t="str">
        <f ca="1">IF(OR($D22="",J22=""),"",VLOOKUP($J22,'Start List'!$D$15:$Y$120,'Match Play Standings'!K$8,FALSE))</f>
        <v>CZE - TJ Opava</v>
      </c>
      <c r="L22" s="79" t="str">
        <f ca="1">IF(OR($D22="",J22=""),"",VLOOKUP($J22,'Start List'!$D$15:$Y$120,'Match Play Standings'!L$8,FALSE))</f>
        <v>M</v>
      </c>
      <c r="M22" s="207">
        <f ca="1">IF(OR($D22="",J22=""),"",VLOOKUP($J22,'Start List'!$D$15:$Y$120,'Match Play Standings'!M$8,FALSE))</f>
        <v>737</v>
      </c>
      <c r="N22" s="210">
        <f ca="1">IF(OR($D22="",J22=""),"",VLOOKUP($J22,'Start List'!$D$15:$Y$120,'Match Play Standings'!N$8,FALSE))</f>
        <v>11</v>
      </c>
      <c r="O22" s="210">
        <f ca="1">IF(OR($D22="",J22=""),"",VLOOKUP($J22,'Start List'!$D$15:$Y$120,'Match Play Standings'!O$8,FALSE))</f>
        <v>6</v>
      </c>
      <c r="P22" s="234">
        <f t="shared" ca="1" si="4"/>
        <v>0</v>
      </c>
      <c r="Q22" s="79" t="str">
        <f t="shared" ca="1" si="5"/>
        <v>1:7</v>
      </c>
      <c r="R22" s="79" t="str">
        <f t="shared" ca="1" si="6"/>
        <v/>
      </c>
      <c r="S22" s="79" t="str">
        <f ca="1">IF(OR($C22="",$J22=""),"",IF($C22&gt;16,"",IF(VLOOKUP($J22,INDIRECT($E22),S$8,FALSE)="0:0","Bye",VLOOKUP($J22,INDIRECT($E22),S$8,FALSE))))</f>
        <v/>
      </c>
      <c r="T22" s="79" t="str">
        <f t="shared" ca="1" si="0"/>
        <v/>
      </c>
    </row>
    <row r="23" spans="1:20" s="83" customFormat="1" ht="12.75" customHeight="1" x14ac:dyDescent="0.2">
      <c r="A23" s="59">
        <f>IF(OR(COUNT('Start List'!A:A)+IF(Data!$AP$6=3,1,IF(Data!$AP$6=2,2,COUNTIF('Start List'!$I$9:$I$14,"&lt;21")))='Match Play Standings'!A22,A22=""),"",'Match Play Standings'!A22+1)</f>
        <v>15</v>
      </c>
      <c r="B23" s="74" t="str">
        <f>IF(A23="","",IF(Data!$AP$6=1,VLOOKUP(SMALL('Start List'!$I$9:$I$139,A23),'Start List'!$I$9:$J$14,2,FALSE),IF(Data!$AP$6=2,'Men-Women'!B23,Data!$AK$2)))</f>
        <v>Men</v>
      </c>
      <c r="C23" s="75">
        <f>IF(OR(B23="",COUNTIF($B$9:B23,B23)=1),"",COUNTIF($B$9:B23,B23)-1)</f>
        <v>14</v>
      </c>
      <c r="D23" s="76">
        <f ca="1">IF(""=C23,"",LARGE(INDIRECT(VLOOKUP(B23,'Start List'!$J$9:$P$14,Data!$AP$6+4,FALSE)),C23))</f>
        <v>1735.0405739999999</v>
      </c>
      <c r="E23" s="77" t="str">
        <f t="shared" si="1"/>
        <v>'Men'!$BN$73:$BT$88</v>
      </c>
      <c r="F23" s="80" t="str">
        <f>"'"&amp;VLOOKUP(B23,Translation!$A$2:$E$72,2,FALSE)&amp;"'!"</f>
        <v>'Men'!</v>
      </c>
      <c r="G23" s="80" t="str">
        <f>INDEX(Data!$AJ$49:$AJ$64,MATCH(C23,Data!$AI$49:$AI$64))</f>
        <v>$BN$86</v>
      </c>
      <c r="H23" s="80" t="str">
        <f t="shared" si="2"/>
        <v>'Men'!$BN$86</v>
      </c>
      <c r="I23" s="80">
        <f t="shared" ca="1" si="3"/>
        <v>14</v>
      </c>
      <c r="J23" s="77" t="str">
        <f ca="1">IF(OR(C23&lt;17,C23=""),IF(B23&lt;&gt;B22,B23,IF($D23="","",INDIRECT(H23))),VLOOKUP(D23,'Start List'!$B$15:$D$120,J$8,FALSE))</f>
        <v>Baborák František</v>
      </c>
      <c r="K23" s="77" t="str">
        <f ca="1">IF(OR($D23="",J23=""),"",VLOOKUP($J23,'Start List'!$D$15:$Y$120,'Match Play Standings'!K$8,FALSE))</f>
        <v>CZE - Plumlov</v>
      </c>
      <c r="L23" s="79" t="str">
        <f ca="1">IF(OR($D23="",J23=""),"",VLOOKUP($J23,'Start List'!$D$15:$Y$120,'Match Play Standings'!L$8,FALSE))</f>
        <v>M</v>
      </c>
      <c r="M23" s="207">
        <f ca="1">IF(OR($D23="",J23=""),"",VLOOKUP($J23,'Start List'!$D$15:$Y$120,'Match Play Standings'!M$8,FALSE))</f>
        <v>735</v>
      </c>
      <c r="N23" s="210">
        <f ca="1">IF(OR($D23="",J23=""),"",VLOOKUP($J23,'Start List'!$D$15:$Y$120,'Match Play Standings'!N$8,FALSE))</f>
        <v>4</v>
      </c>
      <c r="O23" s="210">
        <f ca="1">IF(OR($D23="",J23=""),"",VLOOKUP($J23,'Start List'!$D$15:$Y$120,'Match Play Standings'!O$8,FALSE))</f>
        <v>6</v>
      </c>
      <c r="P23" s="234">
        <f t="shared" ca="1" si="4"/>
        <v>0</v>
      </c>
      <c r="Q23" s="79" t="str">
        <f t="shared" ca="1" si="5"/>
        <v>2:6</v>
      </c>
      <c r="R23" s="79" t="str">
        <f t="shared" ca="1" si="6"/>
        <v/>
      </c>
      <c r="S23" s="79" t="str">
        <f ca="1">IF(OR($C23="",$J23=""),"",IF($C23&gt;16,"",IF(VLOOKUP($J23,INDIRECT($E23),S$8,FALSE)="0:0","Bye",VLOOKUP($J23,INDIRECT($E23),S$8,FALSE))))</f>
        <v/>
      </c>
      <c r="T23" s="79" t="str">
        <f t="shared" ca="1" si="0"/>
        <v/>
      </c>
    </row>
    <row r="24" spans="1:20" s="83" customFormat="1" ht="12.75" customHeight="1" x14ac:dyDescent="0.2">
      <c r="A24" s="59">
        <f>IF(OR(COUNT('Start List'!A:A)+IF(Data!$AP$6=3,1,IF(Data!$AP$6=2,2,COUNTIF('Start List'!$I$9:$I$14,"&lt;21")))='Match Play Standings'!A23,A23=""),"",'Match Play Standings'!A23+1)</f>
        <v>16</v>
      </c>
      <c r="B24" s="74" t="str">
        <f>IF(A24="","",IF(Data!$AP$6=1,VLOOKUP(SMALL('Start List'!$I$9:$I$139,A24),'Start List'!$I$9:$J$14,2,FALSE),IF(Data!$AP$6=2,'Men-Women'!B24,Data!$AK$2)))</f>
        <v>Men</v>
      </c>
      <c r="C24" s="75">
        <f>IF(OR(B24="",COUNTIF($B$9:B24,B24)=1),"",COUNTIF($B$9:B24,B24)-1)</f>
        <v>15</v>
      </c>
      <c r="D24" s="76">
        <f ca="1">IF(""=C24,"",LARGE(INDIRECT(VLOOKUP(B24,'Start List'!$J$9:$P$14,Data!$AP$6+4,FALSE)),C24))</f>
        <v>1718.0809709999999</v>
      </c>
      <c r="E24" s="77" t="str">
        <f t="shared" si="1"/>
        <v>'Men'!$BN$73:$BT$88</v>
      </c>
      <c r="F24" s="80" t="str">
        <f>"'"&amp;VLOOKUP(B24,Translation!$A$2:$E$72,2,FALSE)&amp;"'!"</f>
        <v>'Men'!</v>
      </c>
      <c r="G24" s="80" t="str">
        <f>INDEX(Data!$AJ$49:$AJ$64,MATCH(C24,Data!$AI$49:$AI$64))</f>
        <v>$BN$87</v>
      </c>
      <c r="H24" s="80" t="str">
        <f t="shared" si="2"/>
        <v>'Men'!$BN$87</v>
      </c>
      <c r="I24" s="80">
        <f t="shared" ca="1" si="3"/>
        <v>15</v>
      </c>
      <c r="J24" s="77" t="str">
        <f ca="1">IF(OR(C24&lt;17,C24=""),IF(B24&lt;&gt;B23,B24,IF($D24="","",INDIRECT(H24))),VLOOKUP(D24,'Start List'!$B$15:$D$120,J$8,FALSE))</f>
        <v>Palotai Gyula</v>
      </c>
      <c r="K24" s="77" t="str">
        <f ca="1">IF(OR($D24="",J24=""),"",VLOOKUP($J24,'Start List'!$D$15:$Y$120,'Match Play Standings'!K$8,FALSE))</f>
        <v>HUN - Hungarian Shooting Federation</v>
      </c>
      <c r="L24" s="79" t="str">
        <f ca="1">IF(OR($D24="",J24=""),"",VLOOKUP($J24,'Start List'!$D$15:$Y$120,'Match Play Standings'!L$8,FALSE))</f>
        <v>M</v>
      </c>
      <c r="M24" s="207">
        <f ca="1">IF(OR($D24="",J24=""),"",VLOOKUP($J24,'Start List'!$D$15:$Y$120,'Match Play Standings'!M$8,FALSE))</f>
        <v>718</v>
      </c>
      <c r="N24" s="210">
        <f ca="1">IF(OR($D24="",J24=""),"",VLOOKUP($J24,'Start List'!$D$15:$Y$120,'Match Play Standings'!N$8,FALSE))</f>
        <v>8</v>
      </c>
      <c r="O24" s="210">
        <f ca="1">IF(OR($D24="",J24=""),"",VLOOKUP($J24,'Start List'!$D$15:$Y$120,'Match Play Standings'!O$8,FALSE))</f>
        <v>10</v>
      </c>
      <c r="P24" s="234">
        <f t="shared" ca="1" si="4"/>
        <v>0</v>
      </c>
      <c r="Q24" s="79" t="str">
        <f t="shared" ca="1" si="5"/>
        <v>1:5</v>
      </c>
      <c r="R24" s="79" t="str">
        <f t="shared" ca="1" si="6"/>
        <v/>
      </c>
      <c r="S24" s="79" t="str">
        <f t="shared" ca="1" si="0"/>
        <v/>
      </c>
      <c r="T24" s="79" t="str">
        <f t="shared" ca="1" si="0"/>
        <v/>
      </c>
    </row>
    <row r="25" spans="1:20" s="83" customFormat="1" ht="12.75" customHeight="1" x14ac:dyDescent="0.2">
      <c r="A25" s="59">
        <f>IF(OR(COUNT('Start List'!A:A)+IF(Data!$AP$6=3,1,IF(Data!$AP$6=2,2,COUNTIF('Start List'!$I$9:$I$14,"&lt;21")))='Match Play Standings'!A24,A24=""),"",'Match Play Standings'!A24+1)</f>
        <v>17</v>
      </c>
      <c r="B25" s="74" t="str">
        <f>IF(A25="","",IF(Data!$AP$6=1,VLOOKUP(SMALL('Start List'!$I$9:$I$139,A25),'Start List'!$I$9:$J$14,2,FALSE),IF(Data!$AP$6=2,'Men-Women'!B25,Data!$AK$2)))</f>
        <v>Men</v>
      </c>
      <c r="C25" s="75">
        <f>IF(OR(B25="",COUNTIF($B$9:B25,B25)=1),"",COUNTIF($B$9:B25,B25)-1)</f>
        <v>16</v>
      </c>
      <c r="D25" s="76">
        <f ca="1">IF(""=C25,"",LARGE(INDIRECT(VLOOKUP(B25,'Start List'!$J$9:$P$14,Data!$AP$6+4,FALSE)),C25))</f>
        <v>1695.1102850000002</v>
      </c>
      <c r="E25" s="77" t="str">
        <f t="shared" si="1"/>
        <v>'Men'!$BN$73:$BT$88</v>
      </c>
      <c r="F25" s="80" t="str">
        <f>"'"&amp;VLOOKUP(B25,Translation!$A$2:$E$72,2,FALSE)&amp;"'!"</f>
        <v>'Men'!</v>
      </c>
      <c r="G25" s="80" t="str">
        <f>INDEX(Data!$AJ$49:$AJ$64,MATCH(C25,Data!$AI$49:$AI$64))</f>
        <v>$BN$88</v>
      </c>
      <c r="H25" s="80" t="str">
        <f t="shared" si="2"/>
        <v>'Men'!$BN$88</v>
      </c>
      <c r="I25" s="80">
        <f t="shared" ca="1" si="3"/>
        <v>16</v>
      </c>
      <c r="J25" s="77" t="str">
        <f ca="1">IF(OR(C25&lt;17,C25=""),IF(B25&lt;&gt;B24,B25,IF($D25="","",INDIRECT(H25))),VLOOKUP(D25,'Start List'!$B$15:$D$120,J$8,FALSE))</f>
        <v>Mikeštík Martin</v>
      </c>
      <c r="K25" s="77" t="str">
        <f ca="1">IF(OR($D25="",J25=""),"",VLOOKUP($J25,'Start List'!$D$15:$Y$120,'Match Play Standings'!K$8,FALSE))</f>
        <v>CZE - Otrokovice</v>
      </c>
      <c r="L25" s="79" t="str">
        <f ca="1">IF(OR($D25="",J25=""),"",VLOOKUP($J25,'Start List'!$D$15:$Y$120,'Match Play Standings'!L$8,FALSE))</f>
        <v>M</v>
      </c>
      <c r="M25" s="207">
        <f ca="1">IF(OR($D25="",J25=""),"",VLOOKUP($J25,'Start List'!$D$15:$Y$120,'Match Play Standings'!M$8,FALSE))</f>
        <v>695</v>
      </c>
      <c r="N25" s="210">
        <f ca="1">IF(OR($D25="",J25=""),"",VLOOKUP($J25,'Start List'!$D$15:$Y$120,'Match Play Standings'!N$8,FALSE))</f>
        <v>11</v>
      </c>
      <c r="O25" s="210">
        <f ca="1">IF(OR($D25="",J25=""),"",VLOOKUP($J25,'Start List'!$D$15:$Y$120,'Match Play Standings'!O$8,FALSE))</f>
        <v>3</v>
      </c>
      <c r="P25" s="234">
        <f t="shared" ca="1" si="4"/>
        <v>0</v>
      </c>
      <c r="Q25" s="79" t="str">
        <f t="shared" ca="1" si="5"/>
        <v>0:6</v>
      </c>
      <c r="R25" s="79" t="str">
        <f t="shared" ca="1" si="6"/>
        <v/>
      </c>
      <c r="S25" s="79" t="str">
        <f t="shared" ca="1" si="0"/>
        <v/>
      </c>
      <c r="T25" s="79" t="str">
        <f t="shared" ca="1" si="0"/>
        <v/>
      </c>
    </row>
    <row r="26" spans="1:20" s="83" customFormat="1" ht="12.75" customHeight="1" x14ac:dyDescent="0.2">
      <c r="A26" s="59">
        <f>IF(OR(COUNT('Start List'!A:A)+IF(Data!$AP$6=3,1,IF(Data!$AP$6=2,2,COUNTIF('Start List'!$I$9:$I$14,"&lt;21")))='Match Play Standings'!A25,A25=""),"",'Match Play Standings'!A25+1)</f>
        <v>18</v>
      </c>
      <c r="B26" s="74" t="str">
        <f>IF(A26="","",IF(Data!$AP$6=1,VLOOKUP(SMALL('Start List'!$I$9:$I$139,A26),'Start List'!$I$9:$J$14,2,FALSE),IF(Data!$AP$6=2,'Men-Women'!B26,Data!$AK$2)))</f>
        <v>Men</v>
      </c>
      <c r="C26" s="75">
        <f>IF(OR(B26="",COUNTIF($B$9:B26,B26)=1),"",COUNTIF($B$9:B26,B26)-1)</f>
        <v>17</v>
      </c>
      <c r="D26" s="76">
        <f ca="1">IF(""=C26,"",LARGE(INDIRECT(VLOOKUP(B26,'Start List'!$J$9:$P$14,Data!$AP$6+4,FALSE)),C26))</f>
        <v>1609.020381</v>
      </c>
      <c r="E26" s="77" t="str">
        <f t="shared" si="1"/>
        <v>'Men'!$BN$73:$BT$88</v>
      </c>
      <c r="F26" s="80" t="str">
        <f>"'"&amp;VLOOKUP(B26,Translation!$A$2:$E$72,2,FALSE)&amp;"'!"</f>
        <v>'Men'!</v>
      </c>
      <c r="G26" s="80" t="str">
        <f>INDEX(Data!$AJ$49:$AJ$64,MATCH(C26,Data!$AI$49:$AI$64))</f>
        <v>$BN$88</v>
      </c>
      <c r="H26" s="80" t="str">
        <f t="shared" si="2"/>
        <v>'Men'!$BN$88</v>
      </c>
      <c r="I26" s="80" t="e">
        <f t="shared" ca="1" si="3"/>
        <v>#N/A</v>
      </c>
      <c r="J26" s="77" t="e">
        <f ca="1">IF(OR(C26&lt;17,C26=""),IF(B26&lt;&gt;B25,B26,IF($D26="","",INDIRECT(H26))),VLOOKUP(D26,'Start List'!$B$15:$D$120,J$8,FALSE))</f>
        <v>#N/A</v>
      </c>
      <c r="K26" s="77" t="e">
        <f ca="1">IF(OR($D26="",J26=""),"",VLOOKUP($J26,'Start List'!$D$15:$Y$120,'Match Play Standings'!K$8,FALSE))</f>
        <v>#N/A</v>
      </c>
      <c r="L26" s="79" t="e">
        <f ca="1">IF(OR($D26="",J26=""),"",VLOOKUP($J26,'Start List'!$D$15:$Y$120,'Match Play Standings'!L$8,FALSE))</f>
        <v>#N/A</v>
      </c>
      <c r="M26" s="207" t="e">
        <f ca="1">IF(OR($D26="",J26=""),"",VLOOKUP($J26,'Start List'!$D$15:$Y$120,'Match Play Standings'!M$8,FALSE))</f>
        <v>#N/A</v>
      </c>
      <c r="N26" s="210" t="e">
        <f ca="1">IF(OR($D26="",J26=""),"",VLOOKUP($J26,'Start List'!$D$15:$Y$120,'Match Play Standings'!N$8,FALSE))</f>
        <v>#N/A</v>
      </c>
      <c r="O26" s="210" t="e">
        <f ca="1">IF(OR($D26="",J26=""),"",VLOOKUP($J26,'Start List'!$D$15:$Y$120,'Match Play Standings'!O$8,FALSE))</f>
        <v>#N/A</v>
      </c>
      <c r="P26" s="234" t="str">
        <f t="shared" ca="1" si="4"/>
        <v/>
      </c>
      <c r="Q26" s="79" t="e">
        <f t="shared" ca="1" si="5"/>
        <v>#N/A</v>
      </c>
      <c r="R26" s="79" t="e">
        <f t="shared" ca="1" si="6"/>
        <v>#N/A</v>
      </c>
      <c r="S26" s="79" t="e">
        <f t="shared" ca="1" si="6"/>
        <v>#N/A</v>
      </c>
      <c r="T26" s="79" t="e">
        <f t="shared" ca="1" si="6"/>
        <v>#N/A</v>
      </c>
    </row>
    <row r="27" spans="1:20" s="83" customFormat="1" ht="12.75" customHeight="1" x14ac:dyDescent="0.2">
      <c r="A27" s="59">
        <f>IF(OR(COUNT('Start List'!A:A)+IF(Data!$AP$6=3,1,IF(Data!$AP$6=2,2,COUNTIF('Start List'!$I$9:$I$14,"&lt;21")))='Match Play Standings'!A26,A26=""),"",'Match Play Standings'!A26+1)</f>
        <v>19</v>
      </c>
      <c r="B27" s="74" t="str">
        <f>IF(A27="","",IF(Data!$AP$6=1,VLOOKUP(SMALL('Start List'!$I$9:$I$139,A27),'Start List'!$I$9:$J$14,2,FALSE),IF(Data!$AP$6=2,'Men-Women'!B27,Data!$AK$2)))</f>
        <v>Men</v>
      </c>
      <c r="C27" s="75">
        <f>IF(OR(B27="",COUNTIF($B$9:B27,B27)=1),"",COUNTIF($B$9:B27,B27)-1)</f>
        <v>18</v>
      </c>
      <c r="D27" s="76">
        <f ca="1">IF(""=C27,"",LARGE(INDIRECT(VLOOKUP(B27,'Start List'!$J$9:$P$14,Data!$AP$6+4,FALSE)),C27))</f>
        <v>999.99997199999996</v>
      </c>
      <c r="E27" s="77" t="str">
        <f t="shared" si="1"/>
        <v>'Men'!$BN$73:$BT$88</v>
      </c>
      <c r="F27" s="80" t="str">
        <f>"'"&amp;VLOOKUP(B27,Translation!$A$2:$E$72,2,FALSE)&amp;"'!"</f>
        <v>'Men'!</v>
      </c>
      <c r="G27" s="80" t="str">
        <f>INDEX(Data!$AJ$49:$AJ$64,MATCH(C27,Data!$AI$49:$AI$64))</f>
        <v>$BN$88</v>
      </c>
      <c r="H27" s="80" t="str">
        <f t="shared" si="2"/>
        <v>'Men'!$BN$88</v>
      </c>
      <c r="I27" s="80" t="e">
        <f t="shared" ca="1" si="3"/>
        <v>#N/A</v>
      </c>
      <c r="J27" s="77" t="e">
        <f ca="1">IF(OR(C27&lt;17,C27=""),IF(B27&lt;&gt;B26,B27,IF($D27="","",INDIRECT(H27))),VLOOKUP(D27,'Start List'!$B$15:$D$120,J$8,FALSE))</f>
        <v>#N/A</v>
      </c>
      <c r="K27" s="77" t="e">
        <f ca="1">IF(OR($D27="",J27=""),"",VLOOKUP($J27,'Start List'!$D$15:$Y$120,'Match Play Standings'!K$8,FALSE))</f>
        <v>#N/A</v>
      </c>
      <c r="L27" s="79" t="e">
        <f ca="1">IF(OR($D27="",J27=""),"",VLOOKUP($J27,'Start List'!$D$15:$Y$120,'Match Play Standings'!L$8,FALSE))</f>
        <v>#N/A</v>
      </c>
      <c r="M27" s="207" t="e">
        <f ca="1">IF(OR($D27="",J27=""),"",VLOOKUP($J27,'Start List'!$D$15:$Y$120,'Match Play Standings'!M$8,FALSE))</f>
        <v>#N/A</v>
      </c>
      <c r="N27" s="210" t="e">
        <f ca="1">IF(OR($D27="",J27=""),"",VLOOKUP($J27,'Start List'!$D$15:$Y$120,'Match Play Standings'!N$8,FALSE))</f>
        <v>#N/A</v>
      </c>
      <c r="O27" s="210" t="e">
        <f ca="1">IF(OR($D27="",J27=""),"",VLOOKUP($J27,'Start List'!$D$15:$Y$120,'Match Play Standings'!O$8,FALSE))</f>
        <v>#N/A</v>
      </c>
      <c r="P27" s="234" t="str">
        <f t="shared" ca="1" si="4"/>
        <v/>
      </c>
      <c r="Q27" s="79" t="e">
        <f t="shared" ca="1" si="5"/>
        <v>#N/A</v>
      </c>
      <c r="R27" s="79" t="e">
        <f t="shared" ca="1" si="6"/>
        <v>#N/A</v>
      </c>
      <c r="S27" s="79" t="e">
        <f t="shared" ca="1" si="6"/>
        <v>#N/A</v>
      </c>
      <c r="T27" s="79" t="e">
        <f t="shared" ca="1" si="6"/>
        <v>#N/A</v>
      </c>
    </row>
    <row r="28" spans="1:20" s="83" customFormat="1" ht="12.75" customHeight="1" x14ac:dyDescent="0.2">
      <c r="A28" s="59">
        <f>IF(OR(COUNT('Start List'!A:A)+IF(Data!$AP$6=3,1,IF(Data!$AP$6=2,2,COUNTIF('Start List'!$I$9:$I$14,"&lt;21")))='Match Play Standings'!A27,A27=""),"",'Match Play Standings'!A27+1)</f>
        <v>20</v>
      </c>
      <c r="B28" s="74" t="str">
        <f>IF(A28="","",IF(Data!$AP$6=1,VLOOKUP(SMALL('Start List'!$I$9:$I$139,A28),'Start List'!$I$9:$J$14,2,FALSE),IF(Data!$AP$6=2,'Men-Women'!B28,Data!$AK$2)))</f>
        <v>Women</v>
      </c>
      <c r="C28" s="75" t="str">
        <f>IF(OR(B28="",COUNTIF($B$9:B28,B28)=1),"",COUNTIF($B$9:B28,B28)-1)</f>
        <v/>
      </c>
      <c r="D28" s="76" t="str">
        <f ca="1">IF(""=C28,"",LARGE(INDIRECT(VLOOKUP(B28,'Start List'!$J$9:$P$14,Data!$AP$6+4,FALSE)),C28))</f>
        <v/>
      </c>
      <c r="E28" s="77" t="str">
        <f t="shared" si="1"/>
        <v>'Women'!$BN$73:$BT$88</v>
      </c>
      <c r="F28" s="80" t="str">
        <f>"'"&amp;VLOOKUP(B28,Translation!$A$2:$E$72,2,FALSE)&amp;"'!"</f>
        <v>'Women'!</v>
      </c>
      <c r="G28" s="80" t="e">
        <f>INDEX(Data!$AJ$49:$AJ$64,MATCH(C28,Data!$AI$49:$AI$64))</f>
        <v>#N/A</v>
      </c>
      <c r="H28" s="80" t="e">
        <f t="shared" si="2"/>
        <v>#N/A</v>
      </c>
      <c r="I28" s="80" t="e">
        <f t="shared" ca="1" si="3"/>
        <v>#N/A</v>
      </c>
      <c r="J28" s="77" t="str">
        <f ca="1">IF(OR(C28&lt;17,C28=""),IF(B28&lt;&gt;B27,B28,IF($D28="","",INDIRECT(H28))),VLOOKUP(D28,'Start List'!$B$15:$D$120,J$8,FALSE))</f>
        <v>Women</v>
      </c>
      <c r="K28" s="77" t="str">
        <f ca="1">IF(OR($D28="",J28=""),"",VLOOKUP($J28,'Start List'!$D$15:$Y$120,'Match Play Standings'!K$8,FALSE))</f>
        <v/>
      </c>
      <c r="L28" s="79" t="str">
        <f ca="1">IF(OR($D28="",J28=""),"",VLOOKUP($J28,'Start List'!$D$15:$Y$120,'Match Play Standings'!L$8,FALSE))</f>
        <v/>
      </c>
      <c r="M28" s="207" t="str">
        <f ca="1">IF(OR($D28="",J28=""),"",VLOOKUP($J28,'Start List'!$D$15:$Y$120,'Match Play Standings'!M$8,FALSE))</f>
        <v/>
      </c>
      <c r="N28" s="210" t="str">
        <f ca="1">IF(OR($D28="",J28=""),"",VLOOKUP($J28,'Start List'!$D$15:$Y$120,'Match Play Standings'!N$8,FALSE))</f>
        <v/>
      </c>
      <c r="O28" s="210" t="str">
        <f ca="1">IF(OR($D28="",J28=""),"",VLOOKUP($J28,'Start List'!$D$15:$Y$120,'Match Play Standings'!O$8,FALSE))</f>
        <v/>
      </c>
      <c r="P28" s="234" t="str">
        <f t="shared" ca="1" si="4"/>
        <v/>
      </c>
      <c r="Q28" s="79" t="str">
        <f t="shared" ca="1" si="5"/>
        <v/>
      </c>
      <c r="R28" s="79" t="str">
        <f t="shared" ca="1" si="6"/>
        <v/>
      </c>
      <c r="S28" s="79" t="str">
        <f t="shared" ca="1" si="6"/>
        <v/>
      </c>
      <c r="T28" s="79" t="str">
        <f t="shared" ca="1" si="6"/>
        <v/>
      </c>
    </row>
    <row r="29" spans="1:20" s="83" customFormat="1" ht="12.75" customHeight="1" collapsed="1" x14ac:dyDescent="0.2">
      <c r="A29" s="59">
        <f>IF(OR(COUNT('Start List'!A:A)+IF(Data!$AP$6=3,1,IF(Data!$AP$6=2,2,COUNTIF('Start List'!$I$9:$I$14,"&lt;21")))='Match Play Standings'!A28,A28=""),"",'Match Play Standings'!A28+1)</f>
        <v>21</v>
      </c>
      <c r="B29" s="74" t="str">
        <f>IF(A29="","",IF(Data!$AP$6=1,VLOOKUP(SMALL('Start List'!$I$9:$I$139,A29),'Start List'!$I$9:$J$14,2,FALSE),IF(Data!$AP$6=2,'Men-Women'!B29,Data!$AK$2)))</f>
        <v>Women</v>
      </c>
      <c r="C29" s="75">
        <f>IF(OR(B29="",COUNTIF($B$9:B29,B29)=1),"",COUNTIF($B$9:B29,B29)-1)</f>
        <v>1</v>
      </c>
      <c r="D29" s="76">
        <f ca="1">IF(""=C29,"",LARGE(INDIRECT(VLOOKUP(B29,'Start List'!$J$9:$P$14,Data!$AP$6+4,FALSE)),C29))</f>
        <v>864.42189199999996</v>
      </c>
      <c r="E29" s="77" t="str">
        <f t="shared" si="1"/>
        <v>'Women'!$BN$73:$BT$88</v>
      </c>
      <c r="F29" s="80" t="str">
        <f>"'"&amp;VLOOKUP(B29,Translation!$A$2:$E$72,2,FALSE)&amp;"'!"</f>
        <v>'Women'!</v>
      </c>
      <c r="G29" s="80" t="str">
        <f>INDEX(Data!$AJ$49:$AJ$64,MATCH(C29,Data!$AI$49:$AI$64))</f>
        <v>$BN$73</v>
      </c>
      <c r="H29" s="80" t="str">
        <f t="shared" si="2"/>
        <v>'Women'!$BN$73</v>
      </c>
      <c r="I29" s="80">
        <f t="shared" ca="1" si="3"/>
        <v>1</v>
      </c>
      <c r="J29" s="77" t="str">
        <f ca="1">IF(OR(C29&lt;17,C29=""),IF(B29&lt;&gt;B28,B29,IF($D29="","",INDIRECT(H29))),VLOOKUP(D29,'Start List'!$B$15:$D$120,J$8,FALSE))</f>
        <v>Pereglin Valentina</v>
      </c>
      <c r="K29" s="77" t="str">
        <f ca="1">IF(OR($D29="",J29=""),"",VLOOKUP($J29,'Start List'!$D$15:$Y$120,'Match Play Standings'!K$8,FALSE))</f>
        <v>CRO</v>
      </c>
      <c r="L29" s="79" t="str">
        <f ca="1">IF(OR($D29="",J29=""),"",VLOOKUP($J29,'Start List'!$D$15:$Y$120,'Match Play Standings'!L$8,FALSE))</f>
        <v>W</v>
      </c>
      <c r="M29" s="207">
        <f ca="1">IF(OR($D29="",J29=""),"",VLOOKUP($J29,'Start List'!$D$15:$Y$120,'Match Play Standings'!M$8,FALSE))</f>
        <v>864</v>
      </c>
      <c r="N29" s="210">
        <f ca="1">IF(OR($D29="",J29=""),"",VLOOKUP($J29,'Start List'!$D$15:$Y$120,'Match Play Standings'!N$8,FALSE))</f>
        <v>42</v>
      </c>
      <c r="O29" s="210">
        <f ca="1">IF(OR($D29="",J29=""),"",VLOOKUP($J29,'Start List'!$D$15:$Y$120,'Match Play Standings'!O$8,FALSE))</f>
        <v>19</v>
      </c>
      <c r="P29" s="234">
        <f t="shared" ca="1" si="4"/>
        <v>0</v>
      </c>
      <c r="Q29" s="79" t="str">
        <f t="shared" ca="1" si="5"/>
        <v>Bye</v>
      </c>
      <c r="R29" s="79" t="str">
        <f t="shared" ca="1" si="6"/>
        <v>6:2</v>
      </c>
      <c r="S29" s="79" t="str">
        <f t="shared" ca="1" si="6"/>
        <v>5:1</v>
      </c>
      <c r="T29" s="79" t="str">
        <f t="shared" ca="1" si="6"/>
        <v>5:1</v>
      </c>
    </row>
    <row r="30" spans="1:20" s="83" customFormat="1" ht="12.75" customHeight="1" collapsed="1" x14ac:dyDescent="0.2">
      <c r="A30" s="59">
        <f>IF(OR(COUNT('Start List'!A:A)+IF(Data!$AP$6=3,1,IF(Data!$AP$6=2,2,COUNTIF('Start List'!$I$9:$I$14,"&lt;21")))='Match Play Standings'!A29,A29=""),"",'Match Play Standings'!A29+1)</f>
        <v>22</v>
      </c>
      <c r="B30" s="74" t="str">
        <f>IF(A30="","",IF(Data!$AP$6=1,VLOOKUP(SMALL('Start List'!$I$9:$I$139,A30),'Start List'!$I$9:$J$14,2,FALSE),IF(Data!$AP$6=2,'Men-Women'!B30,Data!$AK$2)))</f>
        <v>Women</v>
      </c>
      <c r="C30" s="75">
        <f>IF(OR(B30="",COUNTIF($B$9:B30,B30)=1),"",COUNTIF($B$9:B30,B30)-1)</f>
        <v>2</v>
      </c>
      <c r="D30" s="76">
        <f ca="1">IF(""=C30,"",LARGE(INDIRECT(VLOOKUP(B30,'Start List'!$J$9:$P$14,Data!$AP$6+4,FALSE)),C30))</f>
        <v>863.38239399999998</v>
      </c>
      <c r="E30" s="77" t="str">
        <f t="shared" si="1"/>
        <v>'Women'!$BN$73:$BT$88</v>
      </c>
      <c r="F30" s="80" t="str">
        <f>"'"&amp;VLOOKUP(B30,Translation!$A$2:$E$72,2,FALSE)&amp;"'!"</f>
        <v>'Women'!</v>
      </c>
      <c r="G30" s="80" t="str">
        <f>INDEX(Data!$AJ$49:$AJ$64,MATCH(C30,Data!$AI$49:$AI$64))</f>
        <v>$BN$74</v>
      </c>
      <c r="H30" s="80" t="str">
        <f t="shared" si="2"/>
        <v>'Women'!$BN$74</v>
      </c>
      <c r="I30" s="80">
        <f t="shared" ca="1" si="3"/>
        <v>2</v>
      </c>
      <c r="J30" s="77" t="str">
        <f ca="1">IF(OR(C30&lt;17,C30=""),IF(B30&lt;&gt;B29,B30,IF($D30="","",INDIRECT(H30))),VLOOKUP(D30,'Start List'!$B$15:$D$120,J$8,FALSE))</f>
        <v>Oborovečki Mihaela</v>
      </c>
      <c r="K30" s="77" t="str">
        <f ca="1">IF(OR($D30="",J30=""),"",VLOOKUP($J30,'Start List'!$D$15:$Y$120,'Match Play Standings'!K$8,FALSE))</f>
        <v>CRO</v>
      </c>
      <c r="L30" s="79" t="str">
        <f ca="1">IF(OR($D30="",J30=""),"",VLOOKUP($J30,'Start List'!$D$15:$Y$120,'Match Play Standings'!L$8,FALSE))</f>
        <v>W</v>
      </c>
      <c r="M30" s="207">
        <f ca="1">IF(OR($D30="",J30=""),"",VLOOKUP($J30,'Start List'!$D$15:$Y$120,'Match Play Standings'!M$8,FALSE))</f>
        <v>863</v>
      </c>
      <c r="N30" s="210">
        <f ca="1">IF(OR($D30="",J30=""),"",VLOOKUP($J30,'Start List'!$D$15:$Y$120,'Match Play Standings'!N$8,FALSE))</f>
        <v>38</v>
      </c>
      <c r="O30" s="210">
        <f ca="1">IF(OR($D30="",J30=""),"",VLOOKUP($J30,'Start List'!$D$15:$Y$120,'Match Play Standings'!O$8,FALSE))</f>
        <v>24</v>
      </c>
      <c r="P30" s="234">
        <f t="shared" ca="1" si="4"/>
        <v>0</v>
      </c>
      <c r="Q30" s="79" t="str">
        <f t="shared" ca="1" si="5"/>
        <v>Bye</v>
      </c>
      <c r="R30" s="79" t="str">
        <f t="shared" ca="1" si="6"/>
        <v>5:3</v>
      </c>
      <c r="S30" s="79" t="str">
        <f t="shared" ca="1" si="6"/>
        <v>6:2</v>
      </c>
      <c r="T30" s="79" t="str">
        <f t="shared" ca="1" si="6"/>
        <v>1:5</v>
      </c>
    </row>
    <row r="31" spans="1:20" s="83" customFormat="1" ht="12.75" customHeight="1" x14ac:dyDescent="0.2">
      <c r="A31" s="59">
        <f>IF(OR(COUNT('Start List'!A:A)+IF(Data!$AP$6=3,1,IF(Data!$AP$6=2,2,COUNTIF('Start List'!$I$9:$I$14,"&lt;21")))='Match Play Standings'!A30,A30=""),"",'Match Play Standings'!A30+1)</f>
        <v>23</v>
      </c>
      <c r="B31" s="74" t="str">
        <f>IF(A31="","",IF(Data!$AP$6=1,VLOOKUP(SMALL('Start List'!$I$9:$I$139,A31),'Start List'!$I$9:$J$14,2,FALSE),IF(Data!$AP$6=2,'Men-Women'!B31,Data!$AK$2)))</f>
        <v>Women</v>
      </c>
      <c r="C31" s="75">
        <f>IF(OR(B31="",COUNTIF($B$9:B31,B31)=1),"",COUNTIF($B$9:B31,B31)-1)</f>
        <v>3</v>
      </c>
      <c r="D31" s="76">
        <f ca="1">IF(""=C31,"",LARGE(INDIRECT(VLOOKUP(B31,'Start List'!$J$9:$P$14,Data!$AP$6+4,FALSE)),C31))</f>
        <v>824.18168200000002</v>
      </c>
      <c r="E31" s="77" t="str">
        <f t="shared" si="1"/>
        <v>'Women'!$BN$73:$BT$88</v>
      </c>
      <c r="F31" s="80" t="str">
        <f>"'"&amp;VLOOKUP(B31,Translation!$A$2:$E$72,2,FALSE)&amp;"'!"</f>
        <v>'Women'!</v>
      </c>
      <c r="G31" s="80" t="str">
        <f>INDEX(Data!$AJ$49:$AJ$64,MATCH(C31,Data!$AI$49:$AI$64))</f>
        <v>$BN$75</v>
      </c>
      <c r="H31" s="80" t="str">
        <f t="shared" si="2"/>
        <v>'Women'!$BN$75</v>
      </c>
      <c r="I31" s="80">
        <f t="shared" ca="1" si="3"/>
        <v>3</v>
      </c>
      <c r="J31" s="77" t="str">
        <f ca="1">IF(OR(C31&lt;17,C31=""),IF(B31&lt;&gt;B30,B31,IF($D31="","",INDIRECT(H31))),VLOOKUP(D31,'Start List'!$B$15:$D$120,J$8,FALSE))</f>
        <v>Karla Bartolović</v>
      </c>
      <c r="K31" s="77" t="str">
        <f ca="1">IF(OR($D31="",J31=""),"",VLOOKUP($J31,'Start List'!$D$15:$Y$120,'Match Play Standings'!K$8,FALSE))</f>
        <v>CRO</v>
      </c>
      <c r="L31" s="79" t="str">
        <f ca="1">IF(OR($D31="",J31=""),"",VLOOKUP($J31,'Start List'!$D$15:$Y$120,'Match Play Standings'!L$8,FALSE))</f>
        <v>W</v>
      </c>
      <c r="M31" s="207">
        <f ca="1">IF(OR($D31="",J31=""),"",VLOOKUP($J31,'Start List'!$D$15:$Y$120,'Match Play Standings'!M$8,FALSE))</f>
        <v>824</v>
      </c>
      <c r="N31" s="210">
        <f ca="1">IF(OR($D31="",J31=""),"",VLOOKUP($J31,'Start List'!$D$15:$Y$120,'Match Play Standings'!N$8,FALSE))</f>
        <v>18</v>
      </c>
      <c r="O31" s="210">
        <f ca="1">IF(OR($D31="",J31=""),"",VLOOKUP($J31,'Start List'!$D$15:$Y$120,'Match Play Standings'!O$8,FALSE))</f>
        <v>17</v>
      </c>
      <c r="P31" s="234">
        <f t="shared" ca="1" si="4"/>
        <v>0</v>
      </c>
      <c r="Q31" s="79" t="str">
        <f t="shared" ca="1" si="5"/>
        <v>6:0</v>
      </c>
      <c r="R31" s="79" t="str">
        <f t="shared" ca="1" si="6"/>
        <v>5:3</v>
      </c>
      <c r="S31" s="79" t="str">
        <f t="shared" ca="1" si="6"/>
        <v>2:6</v>
      </c>
      <c r="T31" s="79" t="str">
        <f t="shared" ca="1" si="6"/>
        <v>6:4</v>
      </c>
    </row>
    <row r="32" spans="1:20" s="78" customFormat="1" ht="12.75" customHeight="1" x14ac:dyDescent="0.2">
      <c r="A32" s="59">
        <f>IF(OR(COUNT('Start List'!A:A)+IF(Data!$AP$6=3,1,IF(Data!$AP$6=2,2,COUNTIF('Start List'!$I$9:$I$14,"&lt;21")))='Match Play Standings'!A31,A31=""),"",'Match Play Standings'!A31+1)</f>
        <v>24</v>
      </c>
      <c r="B32" s="74" t="str">
        <f>IF(A32="","",IF(Data!$AP$6=1,VLOOKUP(SMALL('Start List'!$I$9:$I$139,A32),'Start List'!$I$9:$J$14,2,FALSE),IF(Data!$AP$6=2,'Men-Women'!B32,Data!$AK$2)))</f>
        <v>Women</v>
      </c>
      <c r="C32" s="75">
        <f>IF(OR(B32="",COUNTIF($B$9:B32,B32)=1),"",COUNTIF($B$9:B32,B32)-1)</f>
        <v>4</v>
      </c>
      <c r="D32" s="76">
        <f ca="1">IF(""=C32,"",LARGE(INDIRECT(VLOOKUP(B32,'Start List'!$J$9:$P$14,Data!$AP$6+4,FALSE)),C32))</f>
        <v>817.21138700000006</v>
      </c>
      <c r="E32" s="77" t="str">
        <f t="shared" si="1"/>
        <v>'Women'!$BN$73:$BT$88</v>
      </c>
      <c r="F32" s="80" t="str">
        <f>"'"&amp;VLOOKUP(B32,Translation!$A$2:$E$72,2,FALSE)&amp;"'!"</f>
        <v>'Women'!</v>
      </c>
      <c r="G32" s="80" t="str">
        <f>INDEX(Data!$AJ$49:$AJ$64,MATCH(C32,Data!$AI$49:$AI$64))</f>
        <v>$BN$76</v>
      </c>
      <c r="H32" s="80" t="str">
        <f t="shared" si="2"/>
        <v>'Women'!$BN$76</v>
      </c>
      <c r="I32" s="80">
        <f t="shared" ca="1" si="3"/>
        <v>4</v>
      </c>
      <c r="J32" s="77" t="str">
        <f ca="1">IF(OR(C32&lt;17,C32=""),IF(B32&lt;&gt;B31,B32,IF($D32="","",INDIRECT(H32))),VLOOKUP(D32,'Start List'!$B$15:$D$120,J$8,FALSE))</f>
        <v>Iva Popović-Gecan</v>
      </c>
      <c r="K32" s="77" t="str">
        <f ca="1">IF(OR($D32="",J32=""),"",VLOOKUP($J32,'Start List'!$D$15:$Y$120,'Match Play Standings'!K$8,FALSE))</f>
        <v>CRO</v>
      </c>
      <c r="L32" s="79" t="str">
        <f ca="1">IF(OR($D32="",J32=""),"",VLOOKUP($J32,'Start List'!$D$15:$Y$120,'Match Play Standings'!L$8,FALSE))</f>
        <v>W</v>
      </c>
      <c r="M32" s="207">
        <f ca="1">IF(OR($D32="",J32=""),"",VLOOKUP($J32,'Start List'!$D$15:$Y$120,'Match Play Standings'!M$8,FALSE))</f>
        <v>817</v>
      </c>
      <c r="N32" s="210">
        <f ca="1">IF(OR($D32="",J32=""),"",VLOOKUP($J32,'Start List'!$D$15:$Y$120,'Match Play Standings'!N$8,FALSE))</f>
        <v>21</v>
      </c>
      <c r="O32" s="210">
        <f ca="1">IF(OR($D32="",J32=""),"",VLOOKUP($J32,'Start List'!$D$15:$Y$120,'Match Play Standings'!O$8,FALSE))</f>
        <v>14</v>
      </c>
      <c r="P32" s="234">
        <f t="shared" ca="1" si="4"/>
        <v>0</v>
      </c>
      <c r="Q32" s="79" t="str">
        <f t="shared" ca="1" si="5"/>
        <v>6:4</v>
      </c>
      <c r="R32" s="79" t="str">
        <f t="shared" ca="1" si="6"/>
        <v>6:2</v>
      </c>
      <c r="S32" s="79" t="str">
        <f t="shared" ca="1" si="6"/>
        <v>1:5</v>
      </c>
      <c r="T32" s="79" t="str">
        <f t="shared" ca="1" si="6"/>
        <v>4:6</v>
      </c>
    </row>
    <row r="33" spans="1:20" s="83" customFormat="1" ht="12.75" customHeight="1" x14ac:dyDescent="0.2">
      <c r="A33" s="59">
        <f>IF(OR(COUNT('Start List'!A:A)+IF(Data!$AP$6=3,1,IF(Data!$AP$6=2,2,COUNTIF('Start List'!$I$9:$I$14,"&lt;21")))='Match Play Standings'!A32,A32=""),"",'Match Play Standings'!A32+1)</f>
        <v>25</v>
      </c>
      <c r="B33" s="74" t="str">
        <f>IF(A33="","",IF(Data!$AP$6=1,VLOOKUP(SMALL('Start List'!$I$9:$I$139,A33),'Start List'!$I$9:$J$14,2,FALSE),IF(Data!$AP$6=2,'Men-Women'!B33,Data!$AK$2)))</f>
        <v>Women</v>
      </c>
      <c r="C33" s="75">
        <f>IF(OR(B33="",COUNTIF($B$9:B33,B33)=1),"",COUNTIF($B$9:B33,B33)-1)</f>
        <v>5</v>
      </c>
      <c r="D33" s="76">
        <f ca="1">IF(""=C33,"",LARGE(INDIRECT(VLOOKUP(B33,'Start List'!$J$9:$P$14,Data!$AP$6+4,FALSE)),C33))</f>
        <v>804.22098400000004</v>
      </c>
      <c r="E33" s="77" t="str">
        <f t="shared" si="1"/>
        <v>'Women'!$BN$73:$BT$88</v>
      </c>
      <c r="F33" s="80" t="str">
        <f>"'"&amp;VLOOKUP(B33,Translation!$A$2:$E$72,2,FALSE)&amp;"'!"</f>
        <v>'Women'!</v>
      </c>
      <c r="G33" s="80" t="str">
        <f>INDEX(Data!$AJ$49:$AJ$64,MATCH(C33,Data!$AI$49:$AI$64))</f>
        <v>$BN$77</v>
      </c>
      <c r="H33" s="80" t="str">
        <f t="shared" si="2"/>
        <v>'Women'!$BN$77</v>
      </c>
      <c r="I33" s="80">
        <f t="shared" ca="1" si="3"/>
        <v>7</v>
      </c>
      <c r="J33" s="77" t="str">
        <f ca="1">IF(OR(C33&lt;17,C33=""),IF(B33&lt;&gt;B32,B33,IF($D33="","",INDIRECT(H33))),VLOOKUP(D33,'Start List'!$B$15:$D$120,J$8,FALSE))</f>
        <v>Nedělníková Jaroslava</v>
      </c>
      <c r="K33" s="77" t="str">
        <f ca="1">IF(OR($D33="",J33=""),"",VLOOKUP($J33,'Start List'!$D$15:$Y$120,'Match Play Standings'!K$8,FALSE))</f>
        <v>CZE - Savana</v>
      </c>
      <c r="L33" s="79" t="str">
        <f ca="1">IF(OR($D33="",J33=""),"",VLOOKUP($J33,'Start List'!$D$15:$Y$120,'Match Play Standings'!L$8,FALSE))</f>
        <v>W</v>
      </c>
      <c r="M33" s="207">
        <f ca="1">IF(OR($D33="",J33=""),"",VLOOKUP($J33,'Start List'!$D$15:$Y$120,'Match Play Standings'!M$8,FALSE))</f>
        <v>795</v>
      </c>
      <c r="N33" s="210">
        <f ca="1">IF(OR($D33="",J33=""),"",VLOOKUP($J33,'Start List'!$D$15:$Y$120,'Match Play Standings'!N$8,FALSE))</f>
        <v>18</v>
      </c>
      <c r="O33" s="210">
        <f ca="1">IF(OR($D33="",J33=""),"",VLOOKUP($J33,'Start List'!$D$15:$Y$120,'Match Play Standings'!O$8,FALSE))</f>
        <v>11</v>
      </c>
      <c r="P33" s="234">
        <f t="shared" ca="1" si="4"/>
        <v>2</v>
      </c>
      <c r="Q33" s="79" t="str">
        <f t="shared" ca="1" si="5"/>
        <v>6:4</v>
      </c>
      <c r="R33" s="79" t="str">
        <f t="shared" ca="1" si="6"/>
        <v>3:5</v>
      </c>
      <c r="S33" s="79" t="str">
        <f t="shared" ca="1" si="6"/>
        <v/>
      </c>
      <c r="T33" s="79" t="str">
        <f t="shared" ca="1" si="6"/>
        <v/>
      </c>
    </row>
    <row r="34" spans="1:20" s="83" customFormat="1" ht="12.75" customHeight="1" x14ac:dyDescent="0.2">
      <c r="A34" s="59">
        <f>IF(OR(COUNT('Start List'!A:A)+IF(Data!$AP$6=3,1,IF(Data!$AP$6=2,2,COUNTIF('Start List'!$I$9:$I$14,"&lt;21")))='Match Play Standings'!A33,A33=""),"",'Match Play Standings'!A33+1)</f>
        <v>26</v>
      </c>
      <c r="B34" s="74" t="str">
        <f>IF(A34="","",IF(Data!$AP$6=1,VLOOKUP(SMALL('Start List'!$I$9:$I$139,A34),'Start List'!$I$9:$J$14,2,FALSE),IF(Data!$AP$6=2,'Men-Women'!B34,Data!$AK$2)))</f>
        <v>Women</v>
      </c>
      <c r="C34" s="75">
        <f>IF(OR(B34="",COUNTIF($B$9:B34,B34)=1),"",COUNTIF($B$9:B34,B34)-1)</f>
        <v>6</v>
      </c>
      <c r="D34" s="76">
        <f ca="1">IF(""=C34,"",LARGE(INDIRECT(VLOOKUP(B34,'Start List'!$J$9:$P$14,Data!$AP$6+4,FALSE)),C34))</f>
        <v>799.13148000000001</v>
      </c>
      <c r="E34" s="77" t="str">
        <f t="shared" si="1"/>
        <v>'Women'!$BN$73:$BT$88</v>
      </c>
      <c r="F34" s="80" t="str">
        <f>"'"&amp;VLOOKUP(B34,Translation!$A$2:$E$72,2,FALSE)&amp;"'!"</f>
        <v>'Women'!</v>
      </c>
      <c r="G34" s="80" t="str">
        <f>INDEX(Data!$AJ$49:$AJ$64,MATCH(C34,Data!$AI$49:$AI$64))</f>
        <v>$BN$78</v>
      </c>
      <c r="H34" s="80" t="str">
        <f t="shared" si="2"/>
        <v>'Women'!$BN$78</v>
      </c>
      <c r="I34" s="80">
        <f t="shared" ca="1" si="3"/>
        <v>8</v>
      </c>
      <c r="J34" s="77" t="str">
        <f ca="1">IF(OR(C34&lt;17,C34=""),IF(B34&lt;&gt;B33,B34,IF($D34="","",INDIRECT(H34))),VLOOKUP(D34,'Start List'!$B$15:$D$120,J$8,FALSE))</f>
        <v>Bihariné Gábriel Emese</v>
      </c>
      <c r="K34" s="77" t="str">
        <f ca="1">IF(OR($D34="",J34=""),"",VLOOKUP($J34,'Start List'!$D$15:$Y$120,'Match Play Standings'!K$8,FALSE))</f>
        <v>HUN - Hungarian Shooting Federation</v>
      </c>
      <c r="L34" s="79" t="str">
        <f ca="1">IF(OR($D34="",J34=""),"",VLOOKUP($J34,'Start List'!$D$15:$Y$120,'Match Play Standings'!L$8,FALSE))</f>
        <v>W</v>
      </c>
      <c r="M34" s="207">
        <f ca="1">IF(OR($D34="",J34=""),"",VLOOKUP($J34,'Start List'!$D$15:$Y$120,'Match Play Standings'!M$8,FALSE))</f>
        <v>793</v>
      </c>
      <c r="N34" s="210">
        <f ca="1">IF(OR($D34="",J34=""),"",VLOOKUP($J34,'Start List'!$D$15:$Y$120,'Match Play Standings'!N$8,FALSE))</f>
        <v>15</v>
      </c>
      <c r="O34" s="210">
        <f ca="1">IF(OR($D34="",J34=""),"",VLOOKUP($J34,'Start List'!$D$15:$Y$120,'Match Play Standings'!O$8,FALSE))</f>
        <v>11</v>
      </c>
      <c r="P34" s="234">
        <f t="shared" ca="1" si="4"/>
        <v>2</v>
      </c>
      <c r="Q34" s="79" t="str">
        <f t="shared" ca="1" si="5"/>
        <v>5:1</v>
      </c>
      <c r="R34" s="79" t="str">
        <f t="shared" ca="1" si="6"/>
        <v>2:6</v>
      </c>
      <c r="S34" s="79" t="str">
        <f t="shared" ca="1" si="6"/>
        <v/>
      </c>
      <c r="T34" s="79" t="str">
        <f t="shared" ca="1" si="6"/>
        <v/>
      </c>
    </row>
    <row r="35" spans="1:20" s="83" customFormat="1" ht="12.75" customHeight="1" x14ac:dyDescent="0.2">
      <c r="A35" s="59">
        <f>IF(OR(COUNT('Start List'!A:A)+IF(Data!$AP$6=3,1,IF(Data!$AP$6=2,2,COUNTIF('Start List'!$I$9:$I$14,"&lt;21")))='Match Play Standings'!A34,A34=""),"",'Match Play Standings'!A34+1)</f>
        <v>27</v>
      </c>
      <c r="B35" s="74" t="str">
        <f>IF(A35="","",IF(Data!$AP$6=1,VLOOKUP(SMALL('Start List'!$I$9:$I$139,A35),'Start List'!$I$9:$J$14,2,FALSE),IF(Data!$AP$6=2,'Men-Women'!B35,Data!$AK$2)))</f>
        <v>Women</v>
      </c>
      <c r="C35" s="75">
        <f>IF(OR(B35="",COUNTIF($B$9:B35,B35)=1),"",COUNTIF($B$9:B35,B35)-1)</f>
        <v>7</v>
      </c>
      <c r="D35" s="76">
        <f ca="1">IF(""=C35,"",LARGE(INDIRECT(VLOOKUP(B35,'Start List'!$J$9:$P$14,Data!$AP$6+4,FALSE)),C35))</f>
        <v>795.18106899999987</v>
      </c>
      <c r="E35" s="77" t="str">
        <f t="shared" si="1"/>
        <v>'Women'!$BN$73:$BT$88</v>
      </c>
      <c r="F35" s="80" t="str">
        <f>"'"&amp;VLOOKUP(B35,Translation!$A$2:$E$72,2,FALSE)&amp;"'!"</f>
        <v>'Women'!</v>
      </c>
      <c r="G35" s="80" t="str">
        <f>INDEX(Data!$AJ$49:$AJ$64,MATCH(C35,Data!$AI$49:$AI$64))</f>
        <v>$BN$79</v>
      </c>
      <c r="H35" s="80" t="str">
        <f t="shared" si="2"/>
        <v>'Women'!$BN$79</v>
      </c>
      <c r="I35" s="80">
        <f t="shared" ca="1" si="3"/>
        <v>11</v>
      </c>
      <c r="J35" s="77" t="str">
        <f ca="1">IF(OR(C35&lt;17,C35=""),IF(B35&lt;&gt;B34,B35,IF($D35="","",INDIRECT(H35))),VLOOKUP(D35,'Start List'!$B$15:$D$120,J$8,FALSE))</f>
        <v>Dr. Lénárt Ágota</v>
      </c>
      <c r="K35" s="77" t="str">
        <f ca="1">IF(OR($D35="",J35=""),"",VLOOKUP($J35,'Start List'!$D$15:$Y$120,'Match Play Standings'!K$8,FALSE))</f>
        <v>HUN - Hungarian Shooting Federation</v>
      </c>
      <c r="L35" s="79" t="str">
        <f ca="1">IF(OR($D35="",J35=""),"",VLOOKUP($J35,'Start List'!$D$15:$Y$120,'Match Play Standings'!L$8,FALSE))</f>
        <v>W</v>
      </c>
      <c r="M35" s="207">
        <f ca="1">IF(OR($D35="",J35=""),"",VLOOKUP($J35,'Start List'!$D$15:$Y$120,'Match Play Standings'!M$8,FALSE))</f>
        <v>780</v>
      </c>
      <c r="N35" s="210">
        <f ca="1">IF(OR($D35="",J35=""),"",VLOOKUP($J35,'Start List'!$D$15:$Y$120,'Match Play Standings'!N$8,FALSE))</f>
        <v>12</v>
      </c>
      <c r="O35" s="210">
        <f ca="1">IF(OR($D35="",J35=""),"",VLOOKUP($J35,'Start List'!$D$15:$Y$120,'Match Play Standings'!O$8,FALSE))</f>
        <v>16</v>
      </c>
      <c r="P35" s="234">
        <f t="shared" ca="1" si="4"/>
        <v>4</v>
      </c>
      <c r="Q35" s="79" t="str">
        <f t="shared" ca="1" si="5"/>
        <v>6:4</v>
      </c>
      <c r="R35" s="79" t="str">
        <f t="shared" ca="1" si="6"/>
        <v>3:5</v>
      </c>
      <c r="S35" s="79" t="str">
        <f t="shared" ca="1" si="6"/>
        <v/>
      </c>
      <c r="T35" s="79" t="str">
        <f t="shared" ca="1" si="6"/>
        <v/>
      </c>
    </row>
    <row r="36" spans="1:20" s="83" customFormat="1" ht="12.75" customHeight="1" collapsed="1" x14ac:dyDescent="0.2">
      <c r="A36" s="59">
        <f>IF(OR(COUNT('Start List'!A:A)+IF(Data!$AP$6=3,1,IF(Data!$AP$6=2,2,COUNTIF('Start List'!$I$9:$I$14,"&lt;21")))='Match Play Standings'!A35,A35=""),"",'Match Play Standings'!A35+1)</f>
        <v>28</v>
      </c>
      <c r="B36" s="74" t="str">
        <f>IF(A36="","",IF(Data!$AP$6=1,VLOOKUP(SMALL('Start List'!$I$9:$I$139,A36),'Start List'!$I$9:$J$14,2,FALSE),IF(Data!$AP$6=2,'Men-Women'!B36,Data!$AK$2)))</f>
        <v>Women</v>
      </c>
      <c r="C36" s="75">
        <f>IF(OR(B36="",COUNTIF($B$9:B36,B36)=1),"",COUNTIF($B$9:B36,B36)-1)</f>
        <v>8</v>
      </c>
      <c r="D36" s="76">
        <f ca="1">IF(""=C36,"",LARGE(INDIRECT(VLOOKUP(B36,'Start List'!$J$9:$P$14,Data!$AP$6+4,FALSE)),C36))</f>
        <v>793.15108999999995</v>
      </c>
      <c r="E36" s="77" t="str">
        <f t="shared" si="1"/>
        <v>'Women'!$BN$73:$BT$88</v>
      </c>
      <c r="F36" s="80" t="str">
        <f>"'"&amp;VLOOKUP(B36,Translation!$A$2:$E$72,2,FALSE)&amp;"'!"</f>
        <v>'Women'!</v>
      </c>
      <c r="G36" s="80" t="str">
        <f>INDEX(Data!$AJ$49:$AJ$64,MATCH(C36,Data!$AI$49:$AI$64))</f>
        <v>$BN$80</v>
      </c>
      <c r="H36" s="80" t="str">
        <f t="shared" si="2"/>
        <v>'Women'!$BN$80</v>
      </c>
      <c r="I36" s="80">
        <f t="shared" ca="1" si="3"/>
        <v>12</v>
      </c>
      <c r="J36" s="77" t="str">
        <f ca="1">IF(OR(C36&lt;17,C36=""),IF(B36&lt;&gt;B35,B36,IF($D36="","",INDIRECT(H36))),VLOOKUP(D36,'Start List'!$B$15:$D$120,J$8,FALSE))</f>
        <v>Hynková Irena</v>
      </c>
      <c r="K36" s="77" t="str">
        <f ca="1">IF(OR($D36="",J36=""),"",VLOOKUP($J36,'Start List'!$D$15:$Y$120,'Match Play Standings'!K$8,FALSE))</f>
        <v>CZE - Savana</v>
      </c>
      <c r="L36" s="79" t="str">
        <f ca="1">IF(OR($D36="",J36=""),"",VLOOKUP($J36,'Start List'!$D$15:$Y$120,'Match Play Standings'!L$8,FALSE))</f>
        <v>W</v>
      </c>
      <c r="M36" s="207">
        <f ca="1">IF(OR($D36="",J36=""),"",VLOOKUP($J36,'Start List'!$D$15:$Y$120,'Match Play Standings'!M$8,FALSE))</f>
        <v>776</v>
      </c>
      <c r="N36" s="210">
        <f ca="1">IF(OR($D36="",J36=""),"",VLOOKUP($J36,'Start List'!$D$15:$Y$120,'Match Play Standings'!N$8,FALSE))</f>
        <v>11</v>
      </c>
      <c r="O36" s="210">
        <f ca="1">IF(OR($D36="",J36=""),"",VLOOKUP($J36,'Start List'!$D$15:$Y$120,'Match Play Standings'!O$8,FALSE))</f>
        <v>10</v>
      </c>
      <c r="P36" s="234">
        <f t="shared" ca="1" si="4"/>
        <v>4</v>
      </c>
      <c r="Q36" s="79" t="str">
        <f t="shared" ca="1" si="5"/>
        <v>6:2</v>
      </c>
      <c r="R36" s="79" t="str">
        <f t="shared" ca="1" si="6"/>
        <v>2:6</v>
      </c>
      <c r="S36" s="79" t="str">
        <f t="shared" ca="1" si="6"/>
        <v/>
      </c>
      <c r="T36" s="79" t="str">
        <f t="shared" ca="1" si="6"/>
        <v/>
      </c>
    </row>
    <row r="37" spans="1:20" ht="12.75" customHeight="1" x14ac:dyDescent="0.2">
      <c r="A37" s="59">
        <f>IF(OR(COUNT('Start List'!A:A)+IF(Data!$AP$6=3,1,IF(Data!$AP$6=2,2,COUNTIF('Start List'!$I$9:$I$14,"&lt;21")))='Match Play Standings'!A36,A36=""),"",'Match Play Standings'!A36+1)</f>
        <v>29</v>
      </c>
      <c r="B37" s="74" t="str">
        <f>IF(A37="","",IF(Data!$AP$6=1,VLOOKUP(SMALL('Start List'!$I$9:$I$139,A37),'Start List'!$I$9:$J$14,2,FALSE),IF(Data!$AP$6=2,'Men-Women'!B37,Data!$AK$2)))</f>
        <v>Women</v>
      </c>
      <c r="C37" s="75">
        <f>IF(OR(B37="",COUNTIF($B$9:B37,B37)=1),"",COUNTIF($B$9:B37,B37)-1)</f>
        <v>9</v>
      </c>
      <c r="D37" s="76">
        <f ca="1">IF(""=C37,"",LARGE(INDIRECT(VLOOKUP(B37,'Start List'!$J$9:$P$14,Data!$AP$6+4,FALSE)),C37))</f>
        <v>785.15079500000002</v>
      </c>
      <c r="E37" s="77" t="str">
        <f t="shared" si="1"/>
        <v>'Women'!$BN$73:$BT$88</v>
      </c>
      <c r="F37" s="80" t="str">
        <f>"'"&amp;VLOOKUP(B37,Translation!$A$2:$E$72,2,FALSE)&amp;"'!"</f>
        <v>'Women'!</v>
      </c>
      <c r="G37" s="80" t="str">
        <f>INDEX(Data!$AJ$49:$AJ$64,MATCH(C37,Data!$AI$49:$AI$64))</f>
        <v>$BN$81</v>
      </c>
      <c r="H37" s="80" t="str">
        <f t="shared" si="2"/>
        <v>'Women'!$BN$81</v>
      </c>
      <c r="I37" s="80">
        <f t="shared" ca="1" si="3"/>
        <v>5</v>
      </c>
      <c r="J37" s="77" t="str">
        <f ca="1">IF(OR(C37&lt;17,C37=""),IF(B37&lt;&gt;B36,B37,IF($D37="","",INDIRECT(H37))),VLOOKUP(D37,'Start List'!$B$15:$D$120,J$8,FALSE))</f>
        <v>Petra Petak</v>
      </c>
      <c r="K37" s="77" t="str">
        <f ca="1">IF(OR($D37="",J37=""),"",VLOOKUP($J37,'Start List'!$D$15:$Y$120,'Match Play Standings'!K$8,FALSE))</f>
        <v>CRO</v>
      </c>
      <c r="L37" s="79" t="str">
        <f ca="1">IF(OR($D37="",J37=""),"",VLOOKUP($J37,'Start List'!$D$15:$Y$120,'Match Play Standings'!L$8,FALSE))</f>
        <v>W</v>
      </c>
      <c r="M37" s="207">
        <f ca="1">IF(OR($D37="",J37=""),"",VLOOKUP($J37,'Start List'!$D$15:$Y$120,'Match Play Standings'!M$8,FALSE))</f>
        <v>804</v>
      </c>
      <c r="N37" s="210">
        <f ca="1">IF(OR($D37="",J37=""),"",VLOOKUP($J37,'Start List'!$D$15:$Y$120,'Match Play Standings'!N$8,FALSE))</f>
        <v>22</v>
      </c>
      <c r="O37" s="210">
        <f ca="1">IF(OR($D37="",J37=""),"",VLOOKUP($J37,'Start List'!$D$15:$Y$120,'Match Play Standings'!O$8,FALSE))</f>
        <v>10</v>
      </c>
      <c r="P37" s="234">
        <f t="shared" ca="1" si="4"/>
        <v>-4</v>
      </c>
      <c r="Q37" s="79" t="str">
        <f t="shared" ca="1" si="5"/>
        <v>2:6</v>
      </c>
      <c r="R37" s="79" t="str">
        <f t="shared" ca="1" si="6"/>
        <v/>
      </c>
      <c r="S37" s="79" t="str">
        <f t="shared" ca="1" si="6"/>
        <v/>
      </c>
      <c r="T37" s="79" t="str">
        <f t="shared" ca="1" si="6"/>
        <v/>
      </c>
    </row>
    <row r="38" spans="1:20" ht="12.75" customHeight="1" x14ac:dyDescent="0.2">
      <c r="A38" s="59">
        <f>IF(OR(COUNT('Start List'!A:A)+IF(Data!$AP$6=3,1,IF(Data!$AP$6=2,2,COUNTIF('Start List'!$I$9:$I$14,"&lt;21")))='Match Play Standings'!A37,A37=""),"",'Match Play Standings'!A37+1)</f>
        <v>30</v>
      </c>
      <c r="B38" s="74" t="str">
        <f>IF(A38="","",IF(Data!$AP$6=1,VLOOKUP(SMALL('Start List'!$I$9:$I$139,A38),'Start List'!$I$9:$J$14,2,FALSE),IF(Data!$AP$6=2,'Men-Women'!B38,Data!$AK$2)))</f>
        <v>Women</v>
      </c>
      <c r="C38" s="75">
        <f>IF(OR(B38="",COUNTIF($B$9:B38,B38)=1),"",COUNTIF($B$9:B38,B38)-1)</f>
        <v>10</v>
      </c>
      <c r="D38" s="76">
        <f ca="1">IF(""=C38,"",LARGE(INDIRECT(VLOOKUP(B38,'Start List'!$J$9:$P$14,Data!$AP$6+4,FALSE)),C38))</f>
        <v>782.17099099999996</v>
      </c>
      <c r="E38" s="77" t="str">
        <f t="shared" si="1"/>
        <v>'Women'!$BN$73:$BT$88</v>
      </c>
      <c r="F38" s="80" t="str">
        <f>"'"&amp;VLOOKUP(B38,Translation!$A$2:$E$72,2,FALSE)&amp;"'!"</f>
        <v>'Women'!</v>
      </c>
      <c r="G38" s="80" t="str">
        <f>INDEX(Data!$AJ$49:$AJ$64,MATCH(C38,Data!$AI$49:$AI$64))</f>
        <v>$BN$82</v>
      </c>
      <c r="H38" s="80" t="str">
        <f t="shared" si="2"/>
        <v>'Women'!$BN$82</v>
      </c>
      <c r="I38" s="80">
        <f t="shared" ca="1" si="3"/>
        <v>6</v>
      </c>
      <c r="J38" s="77" t="str">
        <f ca="1">IF(OR(C38&lt;17,C38=""),IF(B38&lt;&gt;B37,B38,IF($D38="","",INDIRECT(H38))),VLOOKUP(D38,'Start List'!$B$15:$D$120,J$8,FALSE))</f>
        <v>Stela Čuk</v>
      </c>
      <c r="K38" s="77" t="str">
        <f ca="1">IF(OR($D38="",J38=""),"",VLOOKUP($J38,'Start List'!$D$15:$Y$120,'Match Play Standings'!K$8,FALSE))</f>
        <v>CRO</v>
      </c>
      <c r="L38" s="79" t="str">
        <f ca="1">IF(OR($D38="",J38=""),"",VLOOKUP($J38,'Start List'!$D$15:$Y$120,'Match Play Standings'!L$8,FALSE))</f>
        <v>W</v>
      </c>
      <c r="M38" s="207">
        <f ca="1">IF(OR($D38="",J38=""),"",VLOOKUP($J38,'Start List'!$D$15:$Y$120,'Match Play Standings'!M$8,FALSE))</f>
        <v>799</v>
      </c>
      <c r="N38" s="210">
        <f ca="1">IF(OR($D38="",J38=""),"",VLOOKUP($J38,'Start List'!$D$15:$Y$120,'Match Play Standings'!N$8,FALSE))</f>
        <v>13</v>
      </c>
      <c r="O38" s="210">
        <f ca="1">IF(OR($D38="",J38=""),"",VLOOKUP($J38,'Start List'!$D$15:$Y$120,'Match Play Standings'!O$8,FALSE))</f>
        <v>15</v>
      </c>
      <c r="P38" s="234">
        <f t="shared" ca="1" si="4"/>
        <v>-4</v>
      </c>
      <c r="Q38" s="79" t="str">
        <f t="shared" ca="1" si="5"/>
        <v>4:6</v>
      </c>
      <c r="R38" s="79" t="str">
        <f t="shared" ca="1" si="6"/>
        <v/>
      </c>
      <c r="S38" s="79" t="str">
        <f t="shared" ca="1" si="6"/>
        <v/>
      </c>
      <c r="T38" s="79" t="str">
        <f t="shared" ca="1" si="6"/>
        <v/>
      </c>
    </row>
    <row r="39" spans="1:20" ht="12.75" customHeight="1" x14ac:dyDescent="0.2">
      <c r="A39" s="59">
        <f>IF(OR(COUNT('Start List'!A:A)+IF(Data!$AP$6=3,1,IF(Data!$AP$6=2,2,COUNTIF('Start List'!$I$9:$I$14,"&lt;21")))='Match Play Standings'!A38,A38=""),"",'Match Play Standings'!A38+1)</f>
        <v>31</v>
      </c>
      <c r="B39" s="74" t="str">
        <f>IF(A39="","",IF(Data!$AP$6=1,VLOOKUP(SMALL('Start List'!$I$9:$I$139,A39),'Start List'!$I$9:$J$14,2,FALSE),IF(Data!$AP$6=2,'Men-Women'!B39,Data!$AK$2)))</f>
        <v>Women</v>
      </c>
      <c r="C39" s="75">
        <f>IF(OR(B39="",COUNTIF($B$9:B39,B39)=1),"",COUNTIF($B$9:B39,B39)-1)</f>
        <v>11</v>
      </c>
      <c r="D39" s="76">
        <f ca="1">IF(""=C39,"",LARGE(INDIRECT(VLOOKUP(B39,'Start List'!$J$9:$P$14,Data!$AP$6+4,FALSE)),C39))</f>
        <v>780.12157000000002</v>
      </c>
      <c r="E39" s="77" t="str">
        <f t="shared" si="1"/>
        <v>'Women'!$BN$73:$BT$88</v>
      </c>
      <c r="F39" s="80" t="str">
        <f>"'"&amp;VLOOKUP(B39,Translation!$A$2:$E$72,2,FALSE)&amp;"'!"</f>
        <v>'Women'!</v>
      </c>
      <c r="G39" s="80" t="str">
        <f>INDEX(Data!$AJ$49:$AJ$64,MATCH(C39,Data!$AI$49:$AI$64))</f>
        <v>$BN$83</v>
      </c>
      <c r="H39" s="80" t="str">
        <f t="shared" si="2"/>
        <v>'Women'!$BN$83</v>
      </c>
      <c r="I39" s="80">
        <f t="shared" ca="1" si="3"/>
        <v>9</v>
      </c>
      <c r="J39" s="77" t="str">
        <f ca="1">IF(OR(C39&lt;17,C39=""),IF(B39&lt;&gt;B38,B39,IF($D39="","",INDIRECT(H39))),VLOOKUP(D39,'Start List'!$B$15:$D$120,J$8,FALSE))</f>
        <v>Kubesová Sabina</v>
      </c>
      <c r="K39" s="77" t="str">
        <f ca="1">IF(OR($D39="",J39=""),"",VLOOKUP($J39,'Start List'!$D$15:$Y$120,'Match Play Standings'!K$8,FALSE))</f>
        <v>CZE - Suché Lazce</v>
      </c>
      <c r="L39" s="79" t="str">
        <f ca="1">IF(OR($D39="",J39=""),"",VLOOKUP($J39,'Start List'!$D$15:$Y$120,'Match Play Standings'!L$8,FALSE))</f>
        <v>W</v>
      </c>
      <c r="M39" s="207">
        <f ca="1">IF(OR($D39="",J39=""),"",VLOOKUP($J39,'Start List'!$D$15:$Y$120,'Match Play Standings'!M$8,FALSE))</f>
        <v>785</v>
      </c>
      <c r="N39" s="210">
        <f ca="1">IF(OR($D39="",J39=""),"",VLOOKUP($J39,'Start List'!$D$15:$Y$120,'Match Play Standings'!N$8,FALSE))</f>
        <v>15</v>
      </c>
      <c r="O39" s="210">
        <f ca="1">IF(OR($D39="",J39=""),"",VLOOKUP($J39,'Start List'!$D$15:$Y$120,'Match Play Standings'!O$8,FALSE))</f>
        <v>8</v>
      </c>
      <c r="P39" s="234">
        <f t="shared" ca="1" si="4"/>
        <v>-2</v>
      </c>
      <c r="Q39" s="79" t="str">
        <f t="shared" ca="1" si="5"/>
        <v>1:5</v>
      </c>
      <c r="R39" s="79" t="str">
        <f t="shared" ca="1" si="6"/>
        <v/>
      </c>
      <c r="S39" s="79" t="str">
        <f t="shared" ca="1" si="6"/>
        <v/>
      </c>
      <c r="T39" s="79" t="str">
        <f t="shared" ca="1" si="6"/>
        <v/>
      </c>
    </row>
    <row r="40" spans="1:20" s="78" customFormat="1" ht="12.75" customHeight="1" x14ac:dyDescent="0.2">
      <c r="A40" s="59">
        <f>IF(OR(COUNT('Start List'!A:A)+IF(Data!$AP$6=3,1,IF(Data!$AP$6=2,2,COUNTIF('Start List'!$I$9:$I$14,"&lt;21")))='Match Play Standings'!A39,A39=""),"",'Match Play Standings'!A39+1)</f>
        <v>32</v>
      </c>
      <c r="B40" s="74" t="str">
        <f>IF(A40="","",IF(Data!$AP$6=1,VLOOKUP(SMALL('Start List'!$I$9:$I$139,A40),'Start List'!$I$9:$J$14,2,FALSE),IF(Data!$AP$6=2,'Men-Women'!B40,Data!$AK$2)))</f>
        <v>Women</v>
      </c>
      <c r="C40" s="75">
        <f>IF(OR(B40="",COUNTIF($B$9:B40,B40)=1),"",COUNTIF($B$9:B40,B40)-1)</f>
        <v>12</v>
      </c>
      <c r="D40" s="76">
        <f ca="1">IF(""=C40,"",LARGE(INDIRECT(VLOOKUP(B40,'Start List'!$J$9:$P$14,Data!$AP$6+4,FALSE)),C40))</f>
        <v>776.11099300000001</v>
      </c>
      <c r="E40" s="77" t="str">
        <f t="shared" si="1"/>
        <v>'Women'!$BN$73:$BT$88</v>
      </c>
      <c r="F40" s="80" t="str">
        <f>"'"&amp;VLOOKUP(B40,Translation!$A$2:$E$72,2,FALSE)&amp;"'!"</f>
        <v>'Women'!</v>
      </c>
      <c r="G40" s="80" t="str">
        <f>INDEX(Data!$AJ$49:$AJ$64,MATCH(C40,Data!$AI$49:$AI$64))</f>
        <v>$BN$84</v>
      </c>
      <c r="H40" s="80" t="str">
        <f t="shared" si="2"/>
        <v>'Women'!$BN$84</v>
      </c>
      <c r="I40" s="80">
        <f t="shared" ca="1" si="3"/>
        <v>10</v>
      </c>
      <c r="J40" s="77" t="str">
        <f ca="1">IF(OR(C40&lt;17,C40=""),IF(B40&lt;&gt;B39,B40,IF($D40="","",INDIRECT(H40))),VLOOKUP(D40,'Start List'!$B$15:$D$120,J$8,FALSE))</f>
        <v>Hynková Karolína</v>
      </c>
      <c r="K40" s="77" t="str">
        <f ca="1">IF(OR($D40="",J40=""),"",VLOOKUP($J40,'Start List'!$D$15:$Y$120,'Match Play Standings'!K$8,FALSE))</f>
        <v>CZE - Savana</v>
      </c>
      <c r="L40" s="79" t="str">
        <f ca="1">IF(OR($D40="",J40=""),"",VLOOKUP($J40,'Start List'!$D$15:$Y$120,'Match Play Standings'!L$8,FALSE))</f>
        <v>W</v>
      </c>
      <c r="M40" s="207">
        <f ca="1">IF(OR($D40="",J40=""),"",VLOOKUP($J40,'Start List'!$D$15:$Y$120,'Match Play Standings'!M$8,FALSE))</f>
        <v>782</v>
      </c>
      <c r="N40" s="210">
        <f ca="1">IF(OR($D40="",J40=""),"",VLOOKUP($J40,'Start List'!$D$15:$Y$120,'Match Play Standings'!N$8,FALSE))</f>
        <v>17</v>
      </c>
      <c r="O40" s="210">
        <f ca="1">IF(OR($D40="",J40=""),"",VLOOKUP($J40,'Start List'!$D$15:$Y$120,'Match Play Standings'!O$8,FALSE))</f>
        <v>10</v>
      </c>
      <c r="P40" s="234">
        <f t="shared" ca="1" si="4"/>
        <v>-2</v>
      </c>
      <c r="Q40" s="79" t="str">
        <f t="shared" ca="1" si="5"/>
        <v>4:6</v>
      </c>
      <c r="R40" s="79" t="str">
        <f t="shared" ca="1" si="6"/>
        <v/>
      </c>
      <c r="S40" s="79" t="str">
        <f t="shared" ca="1" si="6"/>
        <v/>
      </c>
      <c r="T40" s="79" t="str">
        <f t="shared" ca="1" si="6"/>
        <v/>
      </c>
    </row>
    <row r="41" spans="1:20" ht="12.75" customHeight="1" x14ac:dyDescent="0.2">
      <c r="A41" s="59">
        <f>IF(OR(COUNT('Start List'!A:A)+IF(Data!$AP$6=3,1,IF(Data!$AP$6=2,2,COUNTIF('Start List'!$I$9:$I$14,"&lt;21")))='Match Play Standings'!A40,A40=""),"",'Match Play Standings'!A40+1)</f>
        <v>33</v>
      </c>
      <c r="B41" s="74" t="str">
        <f>IF(A41="","",IF(Data!$AP$6=1,VLOOKUP(SMALL('Start List'!$I$9:$I$139,A41),'Start List'!$I$9:$J$14,2,FALSE),IF(Data!$AP$6=2,'Men-Women'!B41,Data!$AK$2)))</f>
        <v>Women</v>
      </c>
      <c r="C41" s="75">
        <f>IF(OR(B41="",COUNTIF($B$9:B41,B41)=1),"",COUNTIF($B$9:B41,B41)-1)</f>
        <v>13</v>
      </c>
      <c r="D41" s="76">
        <f ca="1">IF(""=C41,"",LARGE(INDIRECT(VLOOKUP(B41,'Start List'!$J$9:$P$14,Data!$AP$6+4,FALSE)),C41))</f>
        <v>759.11086799999998</v>
      </c>
      <c r="E41" s="77" t="str">
        <f t="shared" si="1"/>
        <v>'Women'!$BN$73:$BT$88</v>
      </c>
      <c r="F41" s="80" t="str">
        <f>"'"&amp;VLOOKUP(B41,Translation!$A$2:$E$72,2,FALSE)&amp;"'!"</f>
        <v>'Women'!</v>
      </c>
      <c r="G41" s="80" t="str">
        <f>INDEX(Data!$AJ$49:$AJ$64,MATCH(C41,Data!$AI$49:$AI$64))</f>
        <v>$BN$85</v>
      </c>
      <c r="H41" s="80" t="str">
        <f t="shared" si="2"/>
        <v>'Women'!$BN$85</v>
      </c>
      <c r="I41" s="80">
        <f t="shared" ca="1" si="3"/>
        <v>13</v>
      </c>
      <c r="J41" s="77" t="str">
        <f ca="1">IF(OR(C41&lt;17,C41=""),IF(B41&lt;&gt;B40,B41,IF($D41="","",INDIRECT(H41))),VLOOKUP(D41,'Start List'!$B$15:$D$120,J$8,FALSE))</f>
        <v>Kocsis Mária</v>
      </c>
      <c r="K41" s="77" t="str">
        <f ca="1">IF(OR($D41="",J41=""),"",VLOOKUP($J41,'Start List'!$D$15:$Y$120,'Match Play Standings'!K$8,FALSE))</f>
        <v>HUN - Hungarian Shooting Federation</v>
      </c>
      <c r="L41" s="79" t="str">
        <f ca="1">IF(OR($D41="",J41=""),"",VLOOKUP($J41,'Start List'!$D$15:$Y$120,'Match Play Standings'!L$8,FALSE))</f>
        <v>W</v>
      </c>
      <c r="M41" s="207">
        <f ca="1">IF(OR($D41="",J41=""),"",VLOOKUP($J41,'Start List'!$D$15:$Y$120,'Match Play Standings'!M$8,FALSE))</f>
        <v>759</v>
      </c>
      <c r="N41" s="210">
        <f ca="1">IF(OR($D41="",J41=""),"",VLOOKUP($J41,'Start List'!$D$15:$Y$120,'Match Play Standings'!N$8,FALSE))</f>
        <v>11</v>
      </c>
      <c r="O41" s="210">
        <f ca="1">IF(OR($D41="",J41=""),"",VLOOKUP($J41,'Start List'!$D$15:$Y$120,'Match Play Standings'!O$8,FALSE))</f>
        <v>9</v>
      </c>
      <c r="P41" s="234">
        <f t="shared" ca="1" si="4"/>
        <v>0</v>
      </c>
      <c r="Q41" s="79" t="str">
        <f t="shared" ca="1" si="5"/>
        <v>4:6</v>
      </c>
      <c r="R41" s="79" t="str">
        <f t="shared" ca="1" si="6"/>
        <v/>
      </c>
      <c r="S41" s="79" t="str">
        <f t="shared" ca="1" si="6"/>
        <v/>
      </c>
      <c r="T41" s="79" t="str">
        <f t="shared" ca="1" si="6"/>
        <v/>
      </c>
    </row>
    <row r="42" spans="1:20" ht="12.75" customHeight="1" x14ac:dyDescent="0.2">
      <c r="A42" s="59">
        <f>IF(OR(COUNT('Start List'!A:A)+IF(Data!$AP$6=3,1,IF(Data!$AP$6=2,2,COUNTIF('Start List'!$I$9:$I$14,"&lt;21")))='Match Play Standings'!A41,A41=""),"",'Match Play Standings'!A41+1)</f>
        <v>34</v>
      </c>
      <c r="B42" s="74" t="str">
        <f>IF(A42="","",IF(Data!$AP$6=1,VLOOKUP(SMALL('Start List'!$I$9:$I$139,A42),'Start List'!$I$9:$J$14,2,FALSE),IF(Data!$AP$6=2,'Men-Women'!B42,Data!$AK$2)))</f>
        <v>Women</v>
      </c>
      <c r="C42" s="75">
        <f>IF(OR(B42="",COUNTIF($B$9:B42,B42)=1),"",COUNTIF($B$9:B42,B42)-1)</f>
        <v>14</v>
      </c>
      <c r="D42" s="76">
        <f ca="1">IF(""=C42,"",LARGE(INDIRECT(VLOOKUP(B42,'Start List'!$J$9:$P$14,Data!$AP$6+4,FALSE)),C42))</f>
        <v>751.06107899999995</v>
      </c>
      <c r="E42" s="77" t="str">
        <f t="shared" si="1"/>
        <v>'Women'!$BN$73:$BT$88</v>
      </c>
      <c r="F42" s="80" t="str">
        <f>"'"&amp;VLOOKUP(B42,Translation!$A$2:$E$72,2,FALSE)&amp;"'!"</f>
        <v>'Women'!</v>
      </c>
      <c r="G42" s="80" t="str">
        <f>INDEX(Data!$AJ$49:$AJ$64,MATCH(C42,Data!$AI$49:$AI$64))</f>
        <v>$BN$86</v>
      </c>
      <c r="H42" s="80" t="str">
        <f t="shared" si="2"/>
        <v>'Women'!$BN$86</v>
      </c>
      <c r="I42" s="80">
        <f t="shared" ca="1" si="3"/>
        <v>14</v>
      </c>
      <c r="J42" s="77" t="str">
        <f ca="1">IF(OR(C42&lt;17,C42=""),IF(B42&lt;&gt;B41,B42,IF($D42="","",INDIRECT(H42))),VLOOKUP(D42,'Start List'!$B$15:$D$120,J$8,FALSE))</f>
        <v>Penezić Ema</v>
      </c>
      <c r="K42" s="77" t="str">
        <f ca="1">IF(OR($D42="",J42=""),"",VLOOKUP($J42,'Start List'!$D$15:$Y$120,'Match Play Standings'!K$8,FALSE))</f>
        <v>CRO - Predionica</v>
      </c>
      <c r="L42" s="79" t="str">
        <f ca="1">IF(OR($D42="",J42=""),"",VLOOKUP($J42,'Start List'!$D$15:$Y$120,'Match Play Standings'!L$8,FALSE))</f>
        <v>W</v>
      </c>
      <c r="M42" s="207">
        <f ca="1">IF(OR($D42="",J42=""),"",VLOOKUP($J42,'Start List'!$D$15:$Y$120,'Match Play Standings'!M$8,FALSE))</f>
        <v>751</v>
      </c>
      <c r="N42" s="210">
        <f ca="1">IF(OR($D42="",J42=""),"",VLOOKUP($J42,'Start List'!$D$15:$Y$120,'Match Play Standings'!N$8,FALSE))</f>
        <v>6</v>
      </c>
      <c r="O42" s="210">
        <f ca="1">IF(OR($D42="",J42=""),"",VLOOKUP($J42,'Start List'!$D$15:$Y$120,'Match Play Standings'!O$8,FALSE))</f>
        <v>11</v>
      </c>
      <c r="P42" s="234">
        <f t="shared" ca="1" si="4"/>
        <v>0</v>
      </c>
      <c r="Q42" s="79" t="str">
        <f t="shared" ca="1" si="5"/>
        <v>0:6</v>
      </c>
      <c r="R42" s="79" t="str">
        <f t="shared" ca="1" si="6"/>
        <v/>
      </c>
      <c r="S42" s="79" t="str">
        <f t="shared" ca="1" si="6"/>
        <v/>
      </c>
      <c r="T42" s="79" t="str">
        <f t="shared" ca="1" si="6"/>
        <v/>
      </c>
    </row>
    <row r="43" spans="1:20" ht="12.75" customHeight="1" x14ac:dyDescent="0.2">
      <c r="A43" s="59" t="str">
        <f>IF(OR(COUNT('Start List'!A:A)+IF(Data!$AP$6=3,1,IF(Data!$AP$6=2,2,COUNTIF('Start List'!$I$9:$I$14,"&lt;21")))='Match Play Standings'!A42,A42=""),"",'Match Play Standings'!A42+1)</f>
        <v/>
      </c>
      <c r="B43" s="74" t="str">
        <f>IF(A43="","",IF(Data!$AP$6=1,VLOOKUP(SMALL('Start List'!$I$9:$I$139,A43),'Start List'!$I$9:$J$14,2,FALSE),IF(Data!$AP$6=2,'Men-Women'!B43,Data!$AK$2)))</f>
        <v/>
      </c>
      <c r="C43" s="75" t="str">
        <f>IF(OR(B43="",COUNTIF($B$9:B43,B43)=1),"",COUNTIF($B$9:B43,B43)-1)</f>
        <v/>
      </c>
      <c r="D43" s="76" t="str">
        <f ca="1">IF(""=C43,"",LARGE(INDIRECT(VLOOKUP(B43,'Start List'!$J$9:$P$14,Data!$AP$6+4,FALSE)),C43))</f>
        <v/>
      </c>
      <c r="E43" s="77" t="e">
        <f t="shared" si="1"/>
        <v>#N/A</v>
      </c>
      <c r="F43" s="80" t="e">
        <f>"'"&amp;VLOOKUP(B43,Translation!$A$2:$E$72,2,FALSE)&amp;"'!"</f>
        <v>#N/A</v>
      </c>
      <c r="G43" s="80" t="e">
        <f>INDEX(Data!$AJ$49:$AJ$64,MATCH(C43,Data!$AI$49:$AI$64))</f>
        <v>#N/A</v>
      </c>
      <c r="H43" s="80" t="e">
        <f t="shared" si="2"/>
        <v>#N/A</v>
      </c>
      <c r="I43" s="80" t="e">
        <f t="shared" ca="1" si="3"/>
        <v>#N/A</v>
      </c>
      <c r="J43" s="77" t="str">
        <f ca="1">IF(OR(C43&lt;17,C43=""),IF(B43&lt;&gt;B42,B43,IF($D43="","",INDIRECT(H43))),VLOOKUP(D43,'Start List'!$B$15:$D$120,J$8,FALSE))</f>
        <v/>
      </c>
      <c r="K43" s="77" t="str">
        <f ca="1">IF(OR($D43="",J43=""),"",VLOOKUP($J43,'Start List'!$D$15:$Y$120,'Match Play Standings'!K$8,FALSE))</f>
        <v/>
      </c>
      <c r="L43" s="79" t="str">
        <f ca="1">IF(OR($D43="",J43=""),"",VLOOKUP($J43,'Start List'!$D$15:$Y$120,'Match Play Standings'!L$8,FALSE))</f>
        <v/>
      </c>
      <c r="M43" s="207" t="str">
        <f ca="1">IF(OR($D43="",J43=""),"",VLOOKUP($J43,'Start List'!$D$15:$Y$120,'Match Play Standings'!M$8,FALSE))</f>
        <v/>
      </c>
      <c r="N43" s="210" t="str">
        <f ca="1">IF(OR($D43="",J43=""),"",VLOOKUP($J43,'Start List'!$D$15:$Y$120,'Match Play Standings'!N$8,FALSE))</f>
        <v/>
      </c>
      <c r="O43" s="210" t="str">
        <f ca="1">IF(OR($D43="",J43=""),"",VLOOKUP($J43,'Start List'!$D$15:$Y$120,'Match Play Standings'!O$8,FALSE))</f>
        <v/>
      </c>
      <c r="P43" s="234" t="str">
        <f t="shared" ca="1" si="4"/>
        <v/>
      </c>
      <c r="Q43" s="79" t="str">
        <f t="shared" ref="Q43:Q74" ca="1" si="7">IF(OR($C43="",$J43=""),"",IF($C43&gt;16,"DNQ",IF(VLOOKUP($J43,INDIRECT($E43),Q$8,FALSE)="0:0","Bye",VLOOKUP($J43,INDIRECT($E43),Q$8,FALSE))))</f>
        <v/>
      </c>
      <c r="R43" s="79" t="str">
        <f t="shared" ref="R43:T74" ca="1" si="8">IF(OR($C43="",$J43=""),"",IF($C43&gt;16,"",IF(VLOOKUP($J43,INDIRECT($E43),R$8,FALSE)="0:0","Bye",VLOOKUP($J43,INDIRECT($E43),R$8,FALSE))))</f>
        <v/>
      </c>
      <c r="S43" s="79" t="str">
        <f t="shared" ca="1" si="8"/>
        <v/>
      </c>
      <c r="T43" s="79" t="str">
        <f t="shared" ca="1" si="8"/>
        <v/>
      </c>
    </row>
    <row r="44" spans="1:20" ht="12.75" customHeight="1" x14ac:dyDescent="0.2">
      <c r="A44" s="59" t="str">
        <f>IF(OR(COUNT('Start List'!A:A)+IF(Data!$AP$6=3,1,IF(Data!$AP$6=2,2,COUNTIF('Start List'!$I$9:$I$14,"&lt;21")))='Match Play Standings'!A43,A43=""),"",'Match Play Standings'!A43+1)</f>
        <v/>
      </c>
      <c r="B44" s="74" t="str">
        <f>IF(A44="","",IF(Data!$AP$6=1,VLOOKUP(SMALL('Start List'!$I$9:$I$139,A44),'Start List'!$I$9:$J$14,2,FALSE),IF(Data!$AP$6=2,'Men-Women'!B44,Data!$AK$2)))</f>
        <v/>
      </c>
      <c r="C44" s="75" t="str">
        <f>IF(OR(B44="",COUNTIF($B$9:B44,B44)=1),"",COUNTIF($B$9:B44,B44)-1)</f>
        <v/>
      </c>
      <c r="D44" s="76" t="str">
        <f ca="1">IF(""=C44,"",LARGE(INDIRECT(VLOOKUP(B44,'Start List'!$J$9:$P$14,Data!$AP$6+4,FALSE)),C44))</f>
        <v/>
      </c>
      <c r="E44" s="77" t="e">
        <f t="shared" si="1"/>
        <v>#N/A</v>
      </c>
      <c r="F44" s="80" t="e">
        <f>"'"&amp;VLOOKUP(B44,Translation!$A$2:$E$72,2,FALSE)&amp;"'!"</f>
        <v>#N/A</v>
      </c>
      <c r="G44" s="80" t="e">
        <f>INDEX(Data!$AJ$49:$AJ$64,MATCH(C44,Data!$AI$49:$AI$64))</f>
        <v>#N/A</v>
      </c>
      <c r="H44" s="80" t="e">
        <f t="shared" si="2"/>
        <v>#N/A</v>
      </c>
      <c r="I44" s="80" t="e">
        <f t="shared" ca="1" si="3"/>
        <v>#N/A</v>
      </c>
      <c r="J44" s="77" t="str">
        <f ca="1">IF(OR(C44&lt;17,C44=""),IF(B44&lt;&gt;B43,B44,IF($D44="","",INDIRECT(H44))),VLOOKUP(D44,'Start List'!$B$15:$D$120,J$8,FALSE))</f>
        <v/>
      </c>
      <c r="K44" s="77" t="str">
        <f ca="1">IF(OR($D44="",J44=""),"",VLOOKUP($J44,'Start List'!$D$15:$Y$120,'Match Play Standings'!K$8,FALSE))</f>
        <v/>
      </c>
      <c r="L44" s="79" t="str">
        <f ca="1">IF(OR($D44="",J44=""),"",VLOOKUP($J44,'Start List'!$D$15:$Y$120,'Match Play Standings'!L$8,FALSE))</f>
        <v/>
      </c>
      <c r="M44" s="207" t="str">
        <f ca="1">IF(OR($D44="",J44=""),"",VLOOKUP($J44,'Start List'!$D$15:$Y$120,'Match Play Standings'!M$8,FALSE))</f>
        <v/>
      </c>
      <c r="N44" s="210" t="str">
        <f ca="1">IF(OR($D44="",J44=""),"",VLOOKUP($J44,'Start List'!$D$15:$Y$120,'Match Play Standings'!N$8,FALSE))</f>
        <v/>
      </c>
      <c r="O44" s="210" t="str">
        <f ca="1">IF(OR($D44="",J44=""),"",VLOOKUP($J44,'Start List'!$D$15:$Y$120,'Match Play Standings'!O$8,FALSE))</f>
        <v/>
      </c>
      <c r="P44" s="234" t="str">
        <f t="shared" ca="1" si="4"/>
        <v/>
      </c>
      <c r="Q44" s="79" t="str">
        <f t="shared" ca="1" si="7"/>
        <v/>
      </c>
      <c r="R44" s="79" t="str">
        <f t="shared" ca="1" si="8"/>
        <v/>
      </c>
      <c r="S44" s="79" t="str">
        <f t="shared" ca="1" si="8"/>
        <v/>
      </c>
      <c r="T44" s="79" t="str">
        <f t="shared" ca="1" si="8"/>
        <v/>
      </c>
    </row>
    <row r="45" spans="1:20" ht="12.75" customHeight="1" x14ac:dyDescent="0.2">
      <c r="A45" s="59" t="str">
        <f>IF(OR(COUNT('Start List'!A:A)+IF(Data!$AP$6=3,1,IF(Data!$AP$6=2,2,COUNTIF('Start List'!$I$9:$I$14,"&lt;21")))='Match Play Standings'!A44,A44=""),"",'Match Play Standings'!A44+1)</f>
        <v/>
      </c>
      <c r="B45" s="74" t="str">
        <f>IF(A45="","",IF(Data!$AP$6=1,VLOOKUP(SMALL('Start List'!$I$9:$I$139,A45),'Start List'!$I$9:$J$14,2,FALSE),IF(Data!$AP$6=2,'Men-Women'!B45,Data!$AK$2)))</f>
        <v/>
      </c>
      <c r="C45" s="75" t="str">
        <f>IF(OR(B45="",COUNTIF($B$9:B45,B45)=1),"",COUNTIF($B$9:B45,B45)-1)</f>
        <v/>
      </c>
      <c r="D45" s="76" t="str">
        <f ca="1">IF(""=C45,"",LARGE(INDIRECT(VLOOKUP(B45,'Start List'!$J$9:$P$14,Data!$AP$6+4,FALSE)),C45))</f>
        <v/>
      </c>
      <c r="E45" s="77" t="e">
        <f t="shared" si="1"/>
        <v>#N/A</v>
      </c>
      <c r="F45" s="80" t="e">
        <f>"'"&amp;VLOOKUP(B45,Translation!$A$2:$E$72,2,FALSE)&amp;"'!"</f>
        <v>#N/A</v>
      </c>
      <c r="G45" s="80" t="e">
        <f>INDEX(Data!$AJ$49:$AJ$64,MATCH(C45,Data!$AI$49:$AI$64))</f>
        <v>#N/A</v>
      </c>
      <c r="H45" s="80" t="e">
        <f t="shared" si="2"/>
        <v>#N/A</v>
      </c>
      <c r="I45" s="80" t="e">
        <f t="shared" ca="1" si="3"/>
        <v>#N/A</v>
      </c>
      <c r="J45" s="77" t="str">
        <f ca="1">IF(OR(C45&lt;17,C45=""),IF(B45&lt;&gt;B44,B45,IF($D45="","",INDIRECT(H45))),VLOOKUP(D45,'Start List'!$B$15:$D$120,J$8,FALSE))</f>
        <v/>
      </c>
      <c r="K45" s="77" t="str">
        <f ca="1">IF(OR($D45="",J45=""),"",VLOOKUP($J45,'Start List'!$D$15:$Y$120,'Match Play Standings'!K$8,FALSE))</f>
        <v/>
      </c>
      <c r="L45" s="79" t="str">
        <f ca="1">IF(OR($D45="",J45=""),"",VLOOKUP($J45,'Start List'!$D$15:$Y$120,'Match Play Standings'!L$8,FALSE))</f>
        <v/>
      </c>
      <c r="M45" s="207" t="str">
        <f ca="1">IF(OR($D45="",J45=""),"",VLOOKUP($J45,'Start List'!$D$15:$Y$120,'Match Play Standings'!M$8,FALSE))</f>
        <v/>
      </c>
      <c r="N45" s="210" t="str">
        <f ca="1">IF(OR($D45="",J45=""),"",VLOOKUP($J45,'Start List'!$D$15:$Y$120,'Match Play Standings'!N$8,FALSE))</f>
        <v/>
      </c>
      <c r="O45" s="210" t="str">
        <f ca="1">IF(OR($D45="",J45=""),"",VLOOKUP($J45,'Start List'!$D$15:$Y$120,'Match Play Standings'!O$8,FALSE))</f>
        <v/>
      </c>
      <c r="P45" s="234" t="str">
        <f t="shared" ca="1" si="4"/>
        <v/>
      </c>
      <c r="Q45" s="79" t="str">
        <f t="shared" ca="1" si="7"/>
        <v/>
      </c>
      <c r="R45" s="79" t="str">
        <f t="shared" ca="1" si="8"/>
        <v/>
      </c>
      <c r="S45" s="79" t="str">
        <f t="shared" ca="1" si="8"/>
        <v/>
      </c>
      <c r="T45" s="79" t="str">
        <f t="shared" ca="1" si="8"/>
        <v/>
      </c>
    </row>
    <row r="46" spans="1:20" ht="12.75" customHeight="1" x14ac:dyDescent="0.2">
      <c r="A46" s="59" t="str">
        <f>IF(OR(COUNT('Start List'!A:A)+IF(Data!$AP$6=3,1,IF(Data!$AP$6=2,2,COUNTIF('Start List'!$I$9:$I$14,"&lt;21")))='Match Play Standings'!A45,A45=""),"",'Match Play Standings'!A45+1)</f>
        <v/>
      </c>
      <c r="B46" s="74" t="str">
        <f>IF(A46="","",IF(Data!$AP$6=1,VLOOKUP(SMALL('Start List'!$I$9:$I$139,A46),'Start List'!$I$9:$J$14,2,FALSE),IF(Data!$AP$6=2,'Men-Women'!B46,Data!$AK$2)))</f>
        <v/>
      </c>
      <c r="C46" s="75" t="str">
        <f>IF(OR(B46="",COUNTIF($B$9:B46,B46)=1),"",COUNTIF($B$9:B46,B46)-1)</f>
        <v/>
      </c>
      <c r="D46" s="76" t="str">
        <f ca="1">IF(""=C46,"",LARGE(INDIRECT(VLOOKUP(B46,'Start List'!$J$9:$P$14,Data!$AP$6+4,FALSE)),C46))</f>
        <v/>
      </c>
      <c r="E46" s="77" t="e">
        <f t="shared" si="1"/>
        <v>#N/A</v>
      </c>
      <c r="F46" s="80" t="e">
        <f>"'"&amp;VLOOKUP(B46,Translation!$A$2:$E$72,2,FALSE)&amp;"'!"</f>
        <v>#N/A</v>
      </c>
      <c r="G46" s="80" t="e">
        <f>INDEX(Data!$AJ$49:$AJ$64,MATCH(C46,Data!$AI$49:$AI$64))</f>
        <v>#N/A</v>
      </c>
      <c r="H46" s="80" t="e">
        <f t="shared" si="2"/>
        <v>#N/A</v>
      </c>
      <c r="I46" s="80" t="e">
        <f t="shared" ca="1" si="3"/>
        <v>#N/A</v>
      </c>
      <c r="J46" s="77" t="str">
        <f ca="1">IF(OR(C46&lt;17,C46=""),IF(B46&lt;&gt;B45,B46,IF($D46="","",INDIRECT(H46))),VLOOKUP(D46,'Start List'!$B$15:$D$120,J$8,FALSE))</f>
        <v/>
      </c>
      <c r="K46" s="77" t="str">
        <f ca="1">IF(OR($D46="",J46=""),"",VLOOKUP($J46,'Start List'!$D$15:$Y$120,'Match Play Standings'!K$8,FALSE))</f>
        <v/>
      </c>
      <c r="L46" s="79" t="str">
        <f ca="1">IF(OR($D46="",J46=""),"",VLOOKUP($J46,'Start List'!$D$15:$Y$120,'Match Play Standings'!L$8,FALSE))</f>
        <v/>
      </c>
      <c r="M46" s="207" t="str">
        <f ca="1">IF(OR($D46="",J46=""),"",VLOOKUP($J46,'Start List'!$D$15:$Y$120,'Match Play Standings'!M$8,FALSE))</f>
        <v/>
      </c>
      <c r="N46" s="210" t="str">
        <f ca="1">IF(OR($D46="",J46=""),"",VLOOKUP($J46,'Start List'!$D$15:$Y$120,'Match Play Standings'!N$8,FALSE))</f>
        <v/>
      </c>
      <c r="O46" s="210" t="str">
        <f ca="1">IF(OR($D46="",J46=""),"",VLOOKUP($J46,'Start List'!$D$15:$Y$120,'Match Play Standings'!O$8,FALSE))</f>
        <v/>
      </c>
      <c r="P46" s="234" t="str">
        <f t="shared" ca="1" si="4"/>
        <v/>
      </c>
      <c r="Q46" s="79" t="str">
        <f t="shared" ca="1" si="7"/>
        <v/>
      </c>
      <c r="R46" s="79" t="str">
        <f t="shared" ca="1" si="8"/>
        <v/>
      </c>
      <c r="S46" s="79" t="str">
        <f t="shared" ca="1" si="8"/>
        <v/>
      </c>
      <c r="T46" s="79" t="str">
        <f t="shared" ca="1" si="8"/>
        <v/>
      </c>
    </row>
    <row r="47" spans="1:20" ht="12.75" customHeight="1" x14ac:dyDescent="0.2">
      <c r="A47" s="59" t="str">
        <f>IF(OR(COUNT('Start List'!A:A)+IF(Data!$AP$6=3,1,IF(Data!$AP$6=2,2,COUNTIF('Start List'!$I$9:$I$14,"&lt;21")))='Match Play Standings'!A46,A46=""),"",'Match Play Standings'!A46+1)</f>
        <v/>
      </c>
      <c r="B47" s="74" t="str">
        <f>IF(A47="","",IF(Data!$AP$6=1,VLOOKUP(SMALL('Start List'!$I$9:$I$139,A47),'Start List'!$I$9:$J$14,2,FALSE),IF(Data!$AP$6=2,'Men-Women'!B47,Data!$AK$2)))</f>
        <v/>
      </c>
      <c r="C47" s="75" t="str">
        <f>IF(OR(B47="",COUNTIF($B$9:B47,B47)=1),"",COUNTIF($B$9:B47,B47)-1)</f>
        <v/>
      </c>
      <c r="D47" s="76" t="str">
        <f ca="1">IF(""=C47,"",LARGE(INDIRECT(VLOOKUP(B47,'Start List'!$J$9:$P$14,Data!$AP$6+4,FALSE)),C47))</f>
        <v/>
      </c>
      <c r="E47" s="77" t="e">
        <f t="shared" si="1"/>
        <v>#N/A</v>
      </c>
      <c r="F47" s="80" t="e">
        <f>"'"&amp;VLOOKUP(B47,Translation!$A$2:$E$72,2,FALSE)&amp;"'!"</f>
        <v>#N/A</v>
      </c>
      <c r="G47" s="80" t="e">
        <f>INDEX(Data!$AJ$49:$AJ$64,MATCH(C47,Data!$AI$49:$AI$64))</f>
        <v>#N/A</v>
      </c>
      <c r="H47" s="80" t="e">
        <f t="shared" si="2"/>
        <v>#N/A</v>
      </c>
      <c r="I47" s="80" t="e">
        <f t="shared" ca="1" si="3"/>
        <v>#N/A</v>
      </c>
      <c r="J47" s="77" t="str">
        <f ca="1">IF(OR(C47&lt;17,C47=""),IF(B47&lt;&gt;B46,B47,IF($D47="","",INDIRECT(H47))),VLOOKUP(D47,'Start List'!$B$15:$D$120,J$8,FALSE))</f>
        <v/>
      </c>
      <c r="K47" s="77" t="str">
        <f ca="1">IF(OR($D47="",J47=""),"",VLOOKUP($J47,'Start List'!$D$15:$Y$120,'Match Play Standings'!K$8,FALSE))</f>
        <v/>
      </c>
      <c r="L47" s="79" t="str">
        <f ca="1">IF(OR($D47="",J47=""),"",VLOOKUP($J47,'Start List'!$D$15:$Y$120,'Match Play Standings'!L$8,FALSE))</f>
        <v/>
      </c>
      <c r="M47" s="207" t="str">
        <f ca="1">IF(OR($D47="",J47=""),"",VLOOKUP($J47,'Start List'!$D$15:$Y$120,'Match Play Standings'!M$8,FALSE))</f>
        <v/>
      </c>
      <c r="N47" s="210" t="str">
        <f ca="1">IF(OR($D47="",J47=""),"",VLOOKUP($J47,'Start List'!$D$15:$Y$120,'Match Play Standings'!N$8,FALSE))</f>
        <v/>
      </c>
      <c r="O47" s="210" t="str">
        <f ca="1">IF(OR($D47="",J47=""),"",VLOOKUP($J47,'Start List'!$D$15:$Y$120,'Match Play Standings'!O$8,FALSE))</f>
        <v/>
      </c>
      <c r="P47" s="234" t="str">
        <f t="shared" ca="1" si="4"/>
        <v/>
      </c>
      <c r="Q47" s="79" t="str">
        <f t="shared" ca="1" si="7"/>
        <v/>
      </c>
      <c r="R47" s="79" t="str">
        <f t="shared" ca="1" si="8"/>
        <v/>
      </c>
      <c r="S47" s="79" t="str">
        <f t="shared" ca="1" si="8"/>
        <v/>
      </c>
      <c r="T47" s="79" t="str">
        <f t="shared" ca="1" si="8"/>
        <v/>
      </c>
    </row>
    <row r="48" spans="1:20" ht="12.75" customHeight="1" x14ac:dyDescent="0.2">
      <c r="A48" s="59" t="str">
        <f>IF(OR(COUNT('Start List'!A:A)+IF(Data!$AP$6=3,1,IF(Data!$AP$6=2,2,COUNTIF('Start List'!$I$9:$I$14,"&lt;21")))='Match Play Standings'!A47,A47=""),"",'Match Play Standings'!A47+1)</f>
        <v/>
      </c>
      <c r="B48" s="74" t="str">
        <f>IF(A48="","",IF(Data!$AP$6=1,VLOOKUP(SMALL('Start List'!$I$9:$I$139,A48),'Start List'!$I$9:$J$14,2,FALSE),IF(Data!$AP$6=2,'Men-Women'!B48,Data!$AK$2)))</f>
        <v/>
      </c>
      <c r="C48" s="75" t="str">
        <f>IF(OR(B48="",COUNTIF($B$9:B48,B48)=1),"",COUNTIF($B$9:B48,B48)-1)</f>
        <v/>
      </c>
      <c r="D48" s="76" t="str">
        <f ca="1">IF(""=C48,"",LARGE(INDIRECT(VLOOKUP(B48,'Start List'!$J$9:$P$14,Data!$AP$6+4,FALSE)),C48))</f>
        <v/>
      </c>
      <c r="E48" s="77" t="e">
        <f t="shared" si="1"/>
        <v>#N/A</v>
      </c>
      <c r="F48" s="80" t="e">
        <f>"'"&amp;VLOOKUP(B48,Translation!$A$2:$E$72,2,FALSE)&amp;"'!"</f>
        <v>#N/A</v>
      </c>
      <c r="G48" s="80" t="e">
        <f>INDEX(Data!$AJ$49:$AJ$64,MATCH(C48,Data!$AI$49:$AI$64))</f>
        <v>#N/A</v>
      </c>
      <c r="H48" s="80" t="e">
        <f t="shared" si="2"/>
        <v>#N/A</v>
      </c>
      <c r="I48" s="80" t="e">
        <f t="shared" ca="1" si="3"/>
        <v>#N/A</v>
      </c>
      <c r="J48" s="77" t="str">
        <f ca="1">IF(OR(C48&lt;17,C48=""),IF(B48&lt;&gt;B47,B48,IF($D48="","",INDIRECT(H48))),VLOOKUP(D48,'Start List'!$B$15:$D$120,J$8,FALSE))</f>
        <v/>
      </c>
      <c r="K48" s="77" t="str">
        <f ca="1">IF(OR($D48="",J48=""),"",VLOOKUP($J48,'Start List'!$D$15:$Y$120,'Match Play Standings'!K$8,FALSE))</f>
        <v/>
      </c>
      <c r="L48" s="79" t="str">
        <f ca="1">IF(OR($D48="",J48=""),"",VLOOKUP($J48,'Start List'!$D$15:$Y$120,'Match Play Standings'!L$8,FALSE))</f>
        <v/>
      </c>
      <c r="M48" s="207" t="str">
        <f ca="1">IF(OR($D48="",J48=""),"",VLOOKUP($J48,'Start List'!$D$15:$Y$120,'Match Play Standings'!M$8,FALSE))</f>
        <v/>
      </c>
      <c r="N48" s="210" t="str">
        <f ca="1">IF(OR($D48="",J48=""),"",VLOOKUP($J48,'Start List'!$D$15:$Y$120,'Match Play Standings'!N$8,FALSE))</f>
        <v/>
      </c>
      <c r="O48" s="210" t="str">
        <f ca="1">IF(OR($D48="",J48=""),"",VLOOKUP($J48,'Start List'!$D$15:$Y$120,'Match Play Standings'!O$8,FALSE))</f>
        <v/>
      </c>
      <c r="P48" s="234" t="str">
        <f t="shared" ca="1" si="4"/>
        <v/>
      </c>
      <c r="Q48" s="79" t="str">
        <f t="shared" ca="1" si="7"/>
        <v/>
      </c>
      <c r="R48" s="79" t="str">
        <f t="shared" ca="1" si="8"/>
        <v/>
      </c>
      <c r="S48" s="79" t="str">
        <f t="shared" ca="1" si="8"/>
        <v/>
      </c>
      <c r="T48" s="79" t="str">
        <f t="shared" ca="1" si="8"/>
        <v/>
      </c>
    </row>
    <row r="49" spans="1:20" s="78" customFormat="1" ht="12.75" customHeight="1" x14ac:dyDescent="0.2">
      <c r="A49" s="59" t="str">
        <f>IF(OR(COUNT('Start List'!A:A)+IF(Data!$AP$6=3,1,IF(Data!$AP$6=2,2,COUNTIF('Start List'!$I$9:$I$14,"&lt;21")))='Match Play Standings'!A48,A48=""),"",'Match Play Standings'!A48+1)</f>
        <v/>
      </c>
      <c r="B49" s="74" t="str">
        <f>IF(A49="","",IF(Data!$AP$6=1,VLOOKUP(SMALL('Start List'!$I$9:$I$139,A49),'Start List'!$I$9:$J$14,2,FALSE),IF(Data!$AP$6=2,'Men-Women'!B49,Data!$AK$2)))</f>
        <v/>
      </c>
      <c r="C49" s="75" t="str">
        <f>IF(OR(B49="",COUNTIF($B$9:B49,B49)=1),"",COUNTIF($B$9:B49,B49)-1)</f>
        <v/>
      </c>
      <c r="D49" s="76" t="str">
        <f ca="1">IF(""=C49,"",LARGE(INDIRECT(VLOOKUP(B49,'Start List'!$J$9:$P$14,Data!$AP$6+4,FALSE)),C49))</f>
        <v/>
      </c>
      <c r="E49" s="77" t="e">
        <f t="shared" si="1"/>
        <v>#N/A</v>
      </c>
      <c r="F49" s="80" t="e">
        <f>"'"&amp;VLOOKUP(B49,Translation!$A$2:$E$72,2,FALSE)&amp;"'!"</f>
        <v>#N/A</v>
      </c>
      <c r="G49" s="80" t="e">
        <f>INDEX(Data!$AJ$49:$AJ$64,MATCH(C49,Data!$AI$49:$AI$64))</f>
        <v>#N/A</v>
      </c>
      <c r="H49" s="80" t="e">
        <f t="shared" si="2"/>
        <v>#N/A</v>
      </c>
      <c r="I49" s="80" t="e">
        <f t="shared" ca="1" si="3"/>
        <v>#N/A</v>
      </c>
      <c r="J49" s="77" t="str">
        <f ca="1">IF(OR(C49&lt;17,C49=""),IF(B49&lt;&gt;B48,B49,IF($D49="","",INDIRECT(H49))),VLOOKUP(D49,'Start List'!$B$15:$D$120,J$8,FALSE))</f>
        <v/>
      </c>
      <c r="K49" s="77" t="str">
        <f ca="1">IF(OR($D49="",J49=""),"",VLOOKUP($J49,'Start List'!$D$15:$Y$120,'Match Play Standings'!K$8,FALSE))</f>
        <v/>
      </c>
      <c r="L49" s="79" t="str">
        <f ca="1">IF(OR($D49="",J49=""),"",VLOOKUP($J49,'Start List'!$D$15:$Y$120,'Match Play Standings'!L$8,FALSE))</f>
        <v/>
      </c>
      <c r="M49" s="207" t="str">
        <f ca="1">IF(OR($D49="",J49=""),"",VLOOKUP($J49,'Start List'!$D$15:$Y$120,'Match Play Standings'!M$8,FALSE))</f>
        <v/>
      </c>
      <c r="N49" s="210" t="str">
        <f ca="1">IF(OR($D49="",J49=""),"",VLOOKUP($J49,'Start List'!$D$15:$Y$120,'Match Play Standings'!N$8,FALSE))</f>
        <v/>
      </c>
      <c r="O49" s="210" t="str">
        <f ca="1">IF(OR($D49="",J49=""),"",VLOOKUP($J49,'Start List'!$D$15:$Y$120,'Match Play Standings'!O$8,FALSE))</f>
        <v/>
      </c>
      <c r="P49" s="234" t="str">
        <f t="shared" ca="1" si="4"/>
        <v/>
      </c>
      <c r="Q49" s="79" t="str">
        <f t="shared" ca="1" si="7"/>
        <v/>
      </c>
      <c r="R49" s="79" t="str">
        <f t="shared" ca="1" si="8"/>
        <v/>
      </c>
      <c r="S49" s="79" t="str">
        <f t="shared" ca="1" si="8"/>
        <v/>
      </c>
      <c r="T49" s="79" t="str">
        <f t="shared" ca="1" si="8"/>
        <v/>
      </c>
    </row>
    <row r="50" spans="1:20" ht="12.75" customHeight="1" x14ac:dyDescent="0.2">
      <c r="A50" s="59" t="str">
        <f>IF(OR(COUNT('Start List'!A:A)+IF(Data!$AP$6=3,1,IF(Data!$AP$6=2,2,COUNTIF('Start List'!$I$9:$I$14,"&lt;21")))='Match Play Standings'!A49,A49=""),"",'Match Play Standings'!A49+1)</f>
        <v/>
      </c>
      <c r="B50" s="74" t="str">
        <f>IF(A50="","",IF(Data!$AP$6=1,VLOOKUP(SMALL('Start List'!$I$9:$I$139,A50),'Start List'!$I$9:$J$14,2,FALSE),IF(Data!$AP$6=2,'Men-Women'!B50,Data!$AK$2)))</f>
        <v/>
      </c>
      <c r="C50" s="75" t="str">
        <f>IF(OR(B50="",COUNTIF($B$9:B50,B50)=1),"",COUNTIF($B$9:B50,B50)-1)</f>
        <v/>
      </c>
      <c r="D50" s="76" t="str">
        <f ca="1">IF(""=C50,"",LARGE(INDIRECT(VLOOKUP(B50,'Start List'!$J$9:$P$14,Data!$AP$6+4,FALSE)),C50))</f>
        <v/>
      </c>
      <c r="E50" s="77" t="e">
        <f t="shared" si="1"/>
        <v>#N/A</v>
      </c>
      <c r="F50" s="80" t="e">
        <f>"'"&amp;VLOOKUP(B50,Translation!$A$2:$E$72,2,FALSE)&amp;"'!"</f>
        <v>#N/A</v>
      </c>
      <c r="G50" s="80" t="e">
        <f>INDEX(Data!$AJ$49:$AJ$64,MATCH(C50,Data!$AI$49:$AI$64))</f>
        <v>#N/A</v>
      </c>
      <c r="H50" s="80" t="e">
        <f t="shared" si="2"/>
        <v>#N/A</v>
      </c>
      <c r="I50" s="80" t="e">
        <f t="shared" ca="1" si="3"/>
        <v>#N/A</v>
      </c>
      <c r="J50" s="77" t="str">
        <f ca="1">IF(OR(C50&lt;17,C50=""),IF(B50&lt;&gt;B49,B50,IF($D50="","",INDIRECT(H50))),VLOOKUP(D50,'Start List'!$B$15:$D$120,J$8,FALSE))</f>
        <v/>
      </c>
      <c r="K50" s="77" t="str">
        <f ca="1">IF(OR($D50="",J50=""),"",VLOOKUP($J50,'Start List'!$D$15:$Y$120,'Match Play Standings'!K$8,FALSE))</f>
        <v/>
      </c>
      <c r="L50" s="79" t="str">
        <f ca="1">IF(OR($D50="",J50=""),"",VLOOKUP($J50,'Start List'!$D$15:$Y$120,'Match Play Standings'!L$8,FALSE))</f>
        <v/>
      </c>
      <c r="M50" s="207" t="str">
        <f ca="1">IF(OR($D50="",J50=""),"",VLOOKUP($J50,'Start List'!$D$15:$Y$120,'Match Play Standings'!M$8,FALSE))</f>
        <v/>
      </c>
      <c r="N50" s="210" t="str">
        <f ca="1">IF(OR($D50="",J50=""),"",VLOOKUP($J50,'Start List'!$D$15:$Y$120,'Match Play Standings'!N$8,FALSE))</f>
        <v/>
      </c>
      <c r="O50" s="210" t="str">
        <f ca="1">IF(OR($D50="",J50=""),"",VLOOKUP($J50,'Start List'!$D$15:$Y$120,'Match Play Standings'!O$8,FALSE))</f>
        <v/>
      </c>
      <c r="P50" s="234" t="str">
        <f t="shared" ca="1" si="4"/>
        <v/>
      </c>
      <c r="Q50" s="79" t="str">
        <f t="shared" ca="1" si="7"/>
        <v/>
      </c>
      <c r="R50" s="79" t="str">
        <f t="shared" ca="1" si="8"/>
        <v/>
      </c>
      <c r="S50" s="79" t="str">
        <f t="shared" ca="1" si="8"/>
        <v/>
      </c>
      <c r="T50" s="79" t="str">
        <f t="shared" ca="1" si="8"/>
        <v/>
      </c>
    </row>
    <row r="51" spans="1:20" ht="12.75" customHeight="1" x14ac:dyDescent="0.2">
      <c r="A51" s="59" t="str">
        <f>IF(OR(COUNT('Start List'!A:A)+IF(Data!$AP$6=3,1,IF(Data!$AP$6=2,2,COUNTIF('Start List'!$I$9:$I$14,"&lt;21")))='Match Play Standings'!A50,A50=""),"",'Match Play Standings'!A50+1)</f>
        <v/>
      </c>
      <c r="B51" s="74" t="str">
        <f>IF(A51="","",IF(Data!$AP$6=1,VLOOKUP(SMALL('Start List'!$I$9:$I$139,A51),'Start List'!$I$9:$J$14,2,FALSE),IF(Data!$AP$6=2,'Men-Women'!B51,Data!$AK$2)))</f>
        <v/>
      </c>
      <c r="C51" s="75" t="str">
        <f>IF(OR(B51="",COUNTIF($B$9:B51,B51)=1),"",COUNTIF($B$9:B51,B51)-1)</f>
        <v/>
      </c>
      <c r="D51" s="76" t="str">
        <f ca="1">IF(""=C51,"",LARGE(INDIRECT(VLOOKUP(B51,'Start List'!$J$9:$P$14,Data!$AP$6+4,FALSE)),C51))</f>
        <v/>
      </c>
      <c r="E51" s="77" t="e">
        <f t="shared" si="1"/>
        <v>#N/A</v>
      </c>
      <c r="F51" s="80" t="e">
        <f>"'"&amp;VLOOKUP(B51,Translation!$A$2:$E$72,2,FALSE)&amp;"'!"</f>
        <v>#N/A</v>
      </c>
      <c r="G51" s="80" t="e">
        <f>INDEX(Data!$AJ$49:$AJ$64,MATCH(C51,Data!$AI$49:$AI$64))</f>
        <v>#N/A</v>
      </c>
      <c r="H51" s="80" t="e">
        <f t="shared" si="2"/>
        <v>#N/A</v>
      </c>
      <c r="I51" s="80" t="e">
        <f t="shared" ca="1" si="3"/>
        <v>#N/A</v>
      </c>
      <c r="J51" s="77" t="str">
        <f ca="1">IF(OR(C51&lt;17,C51=""),IF(B51&lt;&gt;B50,B51,IF($D51="","",INDIRECT(H51))),VLOOKUP(D51,'Start List'!$B$15:$D$120,J$8,FALSE))</f>
        <v/>
      </c>
      <c r="K51" s="77" t="str">
        <f ca="1">IF(OR($D51="",J51=""),"",VLOOKUP($J51,'Start List'!$D$15:$Y$120,'Match Play Standings'!K$8,FALSE))</f>
        <v/>
      </c>
      <c r="L51" s="79" t="str">
        <f ca="1">IF(OR($D51="",J51=""),"",VLOOKUP($J51,'Start List'!$D$15:$Y$120,'Match Play Standings'!L$8,FALSE))</f>
        <v/>
      </c>
      <c r="M51" s="207" t="str">
        <f ca="1">IF(OR($D51="",J51=""),"",VLOOKUP($J51,'Start List'!$D$15:$Y$120,'Match Play Standings'!M$8,FALSE))</f>
        <v/>
      </c>
      <c r="N51" s="210" t="str">
        <f ca="1">IF(OR($D51="",J51=""),"",VLOOKUP($J51,'Start List'!$D$15:$Y$120,'Match Play Standings'!N$8,FALSE))</f>
        <v/>
      </c>
      <c r="O51" s="210" t="str">
        <f ca="1">IF(OR($D51="",J51=""),"",VLOOKUP($J51,'Start List'!$D$15:$Y$120,'Match Play Standings'!O$8,FALSE))</f>
        <v/>
      </c>
      <c r="P51" s="234" t="str">
        <f t="shared" ca="1" si="4"/>
        <v/>
      </c>
      <c r="Q51" s="79" t="str">
        <f t="shared" ca="1" si="7"/>
        <v/>
      </c>
      <c r="R51" s="79" t="str">
        <f t="shared" ca="1" si="8"/>
        <v/>
      </c>
      <c r="S51" s="79" t="str">
        <f t="shared" ca="1" si="8"/>
        <v/>
      </c>
      <c r="T51" s="79" t="str">
        <f t="shared" ca="1" si="8"/>
        <v/>
      </c>
    </row>
    <row r="52" spans="1:20" ht="12.75" customHeight="1" x14ac:dyDescent="0.2">
      <c r="A52" s="59" t="str">
        <f>IF(OR(COUNT('Start List'!A:A)+IF(Data!$AP$6=3,1,IF(Data!$AP$6=2,2,COUNTIF('Start List'!$I$9:$I$14,"&lt;21")))='Match Play Standings'!A51,A51=""),"",'Match Play Standings'!A51+1)</f>
        <v/>
      </c>
      <c r="B52" s="74" t="str">
        <f>IF(A52="","",IF(Data!$AP$6=1,VLOOKUP(SMALL('Start List'!$I$9:$I$139,A52),'Start List'!$I$9:$J$14,2,FALSE),IF(Data!$AP$6=2,'Men-Women'!B52,Data!$AK$2)))</f>
        <v/>
      </c>
      <c r="C52" s="75" t="str">
        <f>IF(OR(B52="",COUNTIF($B$9:B52,B52)=1),"",COUNTIF($B$9:B52,B52)-1)</f>
        <v/>
      </c>
      <c r="D52" s="76" t="str">
        <f ca="1">IF(""=C52,"",LARGE(INDIRECT(VLOOKUP(B52,'Start List'!$J$9:$P$14,Data!$AP$6+4,FALSE)),C52))</f>
        <v/>
      </c>
      <c r="E52" s="77" t="e">
        <f t="shared" si="1"/>
        <v>#N/A</v>
      </c>
      <c r="F52" s="80" t="e">
        <f>"'"&amp;VLOOKUP(B52,Translation!$A$2:$E$72,2,FALSE)&amp;"'!"</f>
        <v>#N/A</v>
      </c>
      <c r="G52" s="80" t="e">
        <f>INDEX(Data!$AJ$49:$AJ$64,MATCH(C52,Data!$AI$49:$AI$64))</f>
        <v>#N/A</v>
      </c>
      <c r="H52" s="80" t="e">
        <f t="shared" si="2"/>
        <v>#N/A</v>
      </c>
      <c r="I52" s="80" t="e">
        <f t="shared" ca="1" si="3"/>
        <v>#N/A</v>
      </c>
      <c r="J52" s="77" t="str">
        <f ca="1">IF(OR(C52&lt;17,C52=""),IF(B52&lt;&gt;B51,B52,IF($D52="","",INDIRECT(H52))),VLOOKUP(D52,'Start List'!$B$15:$D$120,J$8,FALSE))</f>
        <v/>
      </c>
      <c r="K52" s="77" t="str">
        <f ca="1">IF(OR($D52="",J52=""),"",VLOOKUP($J52,'Start List'!$D$15:$Y$120,'Match Play Standings'!K$8,FALSE))</f>
        <v/>
      </c>
      <c r="L52" s="79" t="str">
        <f ca="1">IF(OR($D52="",J52=""),"",VLOOKUP($J52,'Start List'!$D$15:$Y$120,'Match Play Standings'!L$8,FALSE))</f>
        <v/>
      </c>
      <c r="M52" s="207" t="str">
        <f ca="1">IF(OR($D52="",J52=""),"",VLOOKUP($J52,'Start List'!$D$15:$Y$120,'Match Play Standings'!M$8,FALSE))</f>
        <v/>
      </c>
      <c r="N52" s="210" t="str">
        <f ca="1">IF(OR($D52="",J52=""),"",VLOOKUP($J52,'Start List'!$D$15:$Y$120,'Match Play Standings'!N$8,FALSE))</f>
        <v/>
      </c>
      <c r="O52" s="210" t="str">
        <f ca="1">IF(OR($D52="",J52=""),"",VLOOKUP($J52,'Start List'!$D$15:$Y$120,'Match Play Standings'!O$8,FALSE))</f>
        <v/>
      </c>
      <c r="P52" s="234" t="str">
        <f t="shared" ca="1" si="4"/>
        <v/>
      </c>
      <c r="Q52" s="79" t="str">
        <f t="shared" ca="1" si="7"/>
        <v/>
      </c>
      <c r="R52" s="79" t="str">
        <f t="shared" ca="1" si="8"/>
        <v/>
      </c>
      <c r="S52" s="79" t="str">
        <f t="shared" ca="1" si="8"/>
        <v/>
      </c>
      <c r="T52" s="79" t="str">
        <f t="shared" ca="1" si="8"/>
        <v/>
      </c>
    </row>
    <row r="53" spans="1:20" ht="12.75" customHeight="1" x14ac:dyDescent="0.2">
      <c r="A53" s="59" t="str">
        <f>IF(OR(COUNT('Start List'!A:A)+IF(Data!$AP$6=3,1,IF(Data!$AP$6=2,2,COUNTIF('Start List'!$I$9:$I$14,"&lt;21")))='Match Play Standings'!A52,A52=""),"",'Match Play Standings'!A52+1)</f>
        <v/>
      </c>
      <c r="B53" s="74" t="str">
        <f>IF(A53="","",IF(Data!$AP$6=1,VLOOKUP(SMALL('Start List'!$I$9:$I$139,A53),'Start List'!$I$9:$J$14,2,FALSE),IF(Data!$AP$6=2,'Men-Women'!B53,Data!$AK$2)))</f>
        <v/>
      </c>
      <c r="C53" s="75" t="str">
        <f>IF(OR(B53="",COUNTIF($B$9:B53,B53)=1),"",COUNTIF($B$9:B53,B53)-1)</f>
        <v/>
      </c>
      <c r="D53" s="76" t="str">
        <f ca="1">IF(""=C53,"",LARGE(INDIRECT(VLOOKUP(B53,'Start List'!$J$9:$P$14,Data!$AP$6+4,FALSE)),C53))</f>
        <v/>
      </c>
      <c r="E53" s="77" t="e">
        <f t="shared" si="1"/>
        <v>#N/A</v>
      </c>
      <c r="F53" s="80" t="e">
        <f>"'"&amp;VLOOKUP(B53,Translation!$A$2:$E$72,2,FALSE)&amp;"'!"</f>
        <v>#N/A</v>
      </c>
      <c r="G53" s="80" t="e">
        <f>INDEX(Data!$AJ$49:$AJ$64,MATCH(C53,Data!$AI$49:$AI$64))</f>
        <v>#N/A</v>
      </c>
      <c r="H53" s="80" t="e">
        <f t="shared" si="2"/>
        <v>#N/A</v>
      </c>
      <c r="I53" s="80" t="e">
        <f t="shared" ca="1" si="3"/>
        <v>#N/A</v>
      </c>
      <c r="J53" s="77" t="str">
        <f ca="1">IF(OR(C53&lt;17,C53=""),IF(B53&lt;&gt;B52,B53,IF($D53="","",INDIRECT(H53))),VLOOKUP(D53,'Start List'!$B$15:$D$120,J$8,FALSE))</f>
        <v/>
      </c>
      <c r="K53" s="77" t="str">
        <f ca="1">IF(OR($D53="",J53=""),"",VLOOKUP($J53,'Start List'!$D$15:$Y$120,'Match Play Standings'!K$8,FALSE))</f>
        <v/>
      </c>
      <c r="L53" s="79" t="str">
        <f ca="1">IF(OR($D53="",J53=""),"",VLOOKUP($J53,'Start List'!$D$15:$Y$120,'Match Play Standings'!L$8,FALSE))</f>
        <v/>
      </c>
      <c r="M53" s="207" t="str">
        <f ca="1">IF(OR($D53="",J53=""),"",VLOOKUP($J53,'Start List'!$D$15:$Y$120,'Match Play Standings'!M$8,FALSE))</f>
        <v/>
      </c>
      <c r="N53" s="210" t="str">
        <f ca="1">IF(OR($D53="",J53=""),"",VLOOKUP($J53,'Start List'!$D$15:$Y$120,'Match Play Standings'!N$8,FALSE))</f>
        <v/>
      </c>
      <c r="O53" s="210" t="str">
        <f ca="1">IF(OR($D53="",J53=""),"",VLOOKUP($J53,'Start List'!$D$15:$Y$120,'Match Play Standings'!O$8,FALSE))</f>
        <v/>
      </c>
      <c r="P53" s="234" t="str">
        <f t="shared" ca="1" si="4"/>
        <v/>
      </c>
      <c r="Q53" s="79" t="str">
        <f t="shared" ca="1" si="7"/>
        <v/>
      </c>
      <c r="R53" s="79" t="str">
        <f t="shared" ca="1" si="8"/>
        <v/>
      </c>
      <c r="S53" s="79" t="str">
        <f t="shared" ca="1" si="8"/>
        <v/>
      </c>
      <c r="T53" s="79" t="str">
        <f t="shared" ca="1" si="8"/>
        <v/>
      </c>
    </row>
    <row r="54" spans="1:20" ht="12.75" customHeight="1" x14ac:dyDescent="0.2">
      <c r="A54" s="59" t="str">
        <f>IF(OR(COUNT('Start List'!A:A)+IF(Data!$AP$6=3,1,IF(Data!$AP$6=2,2,COUNTIF('Start List'!$I$9:$I$14,"&lt;21")))='Match Play Standings'!A53,A53=""),"",'Match Play Standings'!A53+1)</f>
        <v/>
      </c>
      <c r="B54" s="74" t="str">
        <f>IF(A54="","",IF(Data!$AP$6=1,VLOOKUP(SMALL('Start List'!$I$9:$I$139,A54),'Start List'!$I$9:$J$14,2,FALSE),IF(Data!$AP$6=2,'Men-Women'!B54,Data!$AK$2)))</f>
        <v/>
      </c>
      <c r="C54" s="75" t="str">
        <f>IF(OR(B54="",COUNTIF($B$9:B54,B54)=1),"",COUNTIF($B$9:B54,B54)-1)</f>
        <v/>
      </c>
      <c r="D54" s="76" t="str">
        <f ca="1">IF(""=C54,"",LARGE(INDIRECT(VLOOKUP(B54,'Start List'!$J$9:$P$14,Data!$AP$6+4,FALSE)),C54))</f>
        <v/>
      </c>
      <c r="E54" s="77" t="e">
        <f t="shared" si="1"/>
        <v>#N/A</v>
      </c>
      <c r="F54" s="80" t="e">
        <f>"'"&amp;VLOOKUP(B54,Translation!$A$2:$E$72,2,FALSE)&amp;"'!"</f>
        <v>#N/A</v>
      </c>
      <c r="G54" s="80" t="e">
        <f>INDEX(Data!$AJ$49:$AJ$64,MATCH(C54,Data!$AI$49:$AI$64))</f>
        <v>#N/A</v>
      </c>
      <c r="H54" s="80" t="e">
        <f t="shared" si="2"/>
        <v>#N/A</v>
      </c>
      <c r="I54" s="80" t="e">
        <f t="shared" ca="1" si="3"/>
        <v>#N/A</v>
      </c>
      <c r="J54" s="77" t="str">
        <f ca="1">IF(OR(C54&lt;17,C54=""),IF(B54&lt;&gt;B53,B54,IF($D54="","",INDIRECT(H54))),VLOOKUP(D54,'Start List'!$B$15:$D$120,J$8,FALSE))</f>
        <v/>
      </c>
      <c r="K54" s="77" t="str">
        <f ca="1">IF(OR($D54="",J54=""),"",VLOOKUP($J54,'Start List'!$D$15:$Y$120,'Match Play Standings'!K$8,FALSE))</f>
        <v/>
      </c>
      <c r="L54" s="79" t="str">
        <f ca="1">IF(OR($D54="",J54=""),"",VLOOKUP($J54,'Start List'!$D$15:$Y$120,'Match Play Standings'!L$8,FALSE))</f>
        <v/>
      </c>
      <c r="M54" s="207" t="str">
        <f ca="1">IF(OR($D54="",J54=""),"",VLOOKUP($J54,'Start List'!$D$15:$Y$120,'Match Play Standings'!M$8,FALSE))</f>
        <v/>
      </c>
      <c r="N54" s="210" t="str">
        <f ca="1">IF(OR($D54="",J54=""),"",VLOOKUP($J54,'Start List'!$D$15:$Y$120,'Match Play Standings'!N$8,FALSE))</f>
        <v/>
      </c>
      <c r="O54" s="210" t="str">
        <f ca="1">IF(OR($D54="",J54=""),"",VLOOKUP($J54,'Start List'!$D$15:$Y$120,'Match Play Standings'!O$8,FALSE))</f>
        <v/>
      </c>
      <c r="P54" s="234" t="str">
        <f t="shared" ca="1" si="4"/>
        <v/>
      </c>
      <c r="Q54" s="79" t="str">
        <f t="shared" ca="1" si="7"/>
        <v/>
      </c>
      <c r="R54" s="79" t="str">
        <f t="shared" ca="1" si="8"/>
        <v/>
      </c>
      <c r="S54" s="79" t="str">
        <f t="shared" ca="1" si="8"/>
        <v/>
      </c>
      <c r="T54" s="79" t="str">
        <f t="shared" ca="1" si="8"/>
        <v/>
      </c>
    </row>
    <row r="55" spans="1:20" ht="12.75" customHeight="1" x14ac:dyDescent="0.2">
      <c r="A55" s="59" t="str">
        <f>IF(OR(COUNT('Start List'!A:A)+IF(Data!$AP$6=3,1,IF(Data!$AP$6=2,2,COUNTIF('Start List'!$I$9:$I$14,"&lt;21")))='Match Play Standings'!A54,A54=""),"",'Match Play Standings'!A54+1)</f>
        <v/>
      </c>
      <c r="B55" s="74" t="str">
        <f>IF(A55="","",IF(Data!$AP$6=1,VLOOKUP(SMALL('Start List'!$I$9:$I$139,A55),'Start List'!$I$9:$J$14,2,FALSE),IF(Data!$AP$6=2,'Men-Women'!B55,Data!$AK$2)))</f>
        <v/>
      </c>
      <c r="C55" s="75" t="str">
        <f>IF(OR(B55="",COUNTIF($B$9:B55,B55)=1),"",COUNTIF($B$9:B55,B55)-1)</f>
        <v/>
      </c>
      <c r="D55" s="76" t="str">
        <f ca="1">IF(""=C55,"",LARGE(INDIRECT(VLOOKUP(B55,'Start List'!$J$9:$P$14,Data!$AP$6+4,FALSE)),C55))</f>
        <v/>
      </c>
      <c r="E55" s="77" t="e">
        <f t="shared" si="1"/>
        <v>#N/A</v>
      </c>
      <c r="F55" s="80" t="e">
        <f>"'"&amp;VLOOKUP(B55,Translation!$A$2:$E$72,2,FALSE)&amp;"'!"</f>
        <v>#N/A</v>
      </c>
      <c r="G55" s="80" t="e">
        <f>INDEX(Data!$AJ$49:$AJ$64,MATCH(C55,Data!$AI$49:$AI$64))</f>
        <v>#N/A</v>
      </c>
      <c r="H55" s="80" t="e">
        <f t="shared" si="2"/>
        <v>#N/A</v>
      </c>
      <c r="I55" s="80" t="e">
        <f t="shared" ca="1" si="3"/>
        <v>#N/A</v>
      </c>
      <c r="J55" s="77" t="str">
        <f ca="1">IF(OR(C55&lt;17,C55=""),IF(B55&lt;&gt;B54,B55,IF($D55="","",INDIRECT(H55))),VLOOKUP(D55,'Start List'!$B$15:$D$120,J$8,FALSE))</f>
        <v/>
      </c>
      <c r="K55" s="77" t="str">
        <f ca="1">IF(OR($D55="",J55=""),"",VLOOKUP($J55,'Start List'!$D$15:$Y$120,'Match Play Standings'!K$8,FALSE))</f>
        <v/>
      </c>
      <c r="L55" s="79" t="str">
        <f ca="1">IF(OR($D55="",J55=""),"",VLOOKUP($J55,'Start List'!$D$15:$Y$120,'Match Play Standings'!L$8,FALSE))</f>
        <v/>
      </c>
      <c r="M55" s="207" t="str">
        <f ca="1">IF(OR($D55="",J55=""),"",VLOOKUP($J55,'Start List'!$D$15:$Y$120,'Match Play Standings'!M$8,FALSE))</f>
        <v/>
      </c>
      <c r="N55" s="210" t="str">
        <f ca="1">IF(OR($D55="",J55=""),"",VLOOKUP($J55,'Start List'!$D$15:$Y$120,'Match Play Standings'!N$8,FALSE))</f>
        <v/>
      </c>
      <c r="O55" s="210" t="str">
        <f ca="1">IF(OR($D55="",J55=""),"",VLOOKUP($J55,'Start List'!$D$15:$Y$120,'Match Play Standings'!O$8,FALSE))</f>
        <v/>
      </c>
      <c r="P55" s="234" t="str">
        <f t="shared" ca="1" si="4"/>
        <v/>
      </c>
      <c r="Q55" s="79" t="str">
        <f t="shared" ca="1" si="7"/>
        <v/>
      </c>
      <c r="R55" s="79" t="str">
        <f t="shared" ca="1" si="8"/>
        <v/>
      </c>
      <c r="S55" s="79" t="str">
        <f t="shared" ca="1" si="8"/>
        <v/>
      </c>
      <c r="T55" s="79" t="str">
        <f t="shared" ca="1" si="8"/>
        <v/>
      </c>
    </row>
    <row r="56" spans="1:20" ht="12.75" customHeight="1" x14ac:dyDescent="0.2">
      <c r="A56" s="59" t="str">
        <f>IF(OR(COUNT('Start List'!A:A)+IF(Data!$AP$6=3,1,IF(Data!$AP$6=2,2,COUNTIF('Start List'!$I$9:$I$14,"&lt;21")))='Match Play Standings'!A55,A55=""),"",'Match Play Standings'!A55+1)</f>
        <v/>
      </c>
      <c r="B56" s="74" t="str">
        <f>IF(A56="","",IF(Data!$AP$6=1,VLOOKUP(SMALL('Start List'!$I$9:$I$139,A56),'Start List'!$I$9:$J$14,2,FALSE),IF(Data!$AP$6=2,'Men-Women'!B56,Data!$AK$2)))</f>
        <v/>
      </c>
      <c r="C56" s="75" t="str">
        <f>IF(OR(B56="",COUNTIF($B$9:B56,B56)=1),"",COUNTIF($B$9:B56,B56)-1)</f>
        <v/>
      </c>
      <c r="D56" s="76" t="str">
        <f ca="1">IF(""=C56,"",LARGE(INDIRECT(VLOOKUP(B56,'Start List'!$J$9:$P$14,Data!$AP$6+4,FALSE)),C56))</f>
        <v/>
      </c>
      <c r="E56" s="77" t="e">
        <f t="shared" si="1"/>
        <v>#N/A</v>
      </c>
      <c r="F56" s="80" t="e">
        <f>"'"&amp;VLOOKUP(B56,Translation!$A$2:$E$72,2,FALSE)&amp;"'!"</f>
        <v>#N/A</v>
      </c>
      <c r="G56" s="80" t="e">
        <f>INDEX(Data!$AJ$49:$AJ$64,MATCH(C56,Data!$AI$49:$AI$64))</f>
        <v>#N/A</v>
      </c>
      <c r="H56" s="80" t="e">
        <f t="shared" si="2"/>
        <v>#N/A</v>
      </c>
      <c r="I56" s="80" t="e">
        <f t="shared" ca="1" si="3"/>
        <v>#N/A</v>
      </c>
      <c r="J56" s="77" t="str">
        <f ca="1">IF(OR(C56&lt;17,C56=""),IF(B56&lt;&gt;B55,B56,IF($D56="","",INDIRECT(H56))),VLOOKUP(D56,'Start List'!$B$15:$D$120,J$8,FALSE))</f>
        <v/>
      </c>
      <c r="K56" s="77" t="str">
        <f ca="1">IF(OR($D56="",J56=""),"",VLOOKUP($J56,'Start List'!$D$15:$Y$120,'Match Play Standings'!K$8,FALSE))</f>
        <v/>
      </c>
      <c r="L56" s="79" t="str">
        <f ca="1">IF(OR($D56="",J56=""),"",VLOOKUP($J56,'Start List'!$D$15:$Y$120,'Match Play Standings'!L$8,FALSE))</f>
        <v/>
      </c>
      <c r="M56" s="207" t="str">
        <f ca="1">IF(OR($D56="",J56=""),"",VLOOKUP($J56,'Start List'!$D$15:$Y$120,'Match Play Standings'!M$8,FALSE))</f>
        <v/>
      </c>
      <c r="N56" s="210" t="str">
        <f ca="1">IF(OR($D56="",J56=""),"",VLOOKUP($J56,'Start List'!$D$15:$Y$120,'Match Play Standings'!N$8,FALSE))</f>
        <v/>
      </c>
      <c r="O56" s="210" t="str">
        <f ca="1">IF(OR($D56="",J56=""),"",VLOOKUP($J56,'Start List'!$D$15:$Y$120,'Match Play Standings'!O$8,FALSE))</f>
        <v/>
      </c>
      <c r="P56" s="234" t="str">
        <f t="shared" ca="1" si="4"/>
        <v/>
      </c>
      <c r="Q56" s="79" t="str">
        <f t="shared" ca="1" si="7"/>
        <v/>
      </c>
      <c r="R56" s="79" t="str">
        <f t="shared" ca="1" si="8"/>
        <v/>
      </c>
      <c r="S56" s="79" t="str">
        <f t="shared" ca="1" si="8"/>
        <v/>
      </c>
      <c r="T56" s="79" t="str">
        <f t="shared" ca="1" si="8"/>
        <v/>
      </c>
    </row>
    <row r="57" spans="1:20" ht="12.75" customHeight="1" x14ac:dyDescent="0.2">
      <c r="A57" s="59" t="str">
        <f>IF(OR(COUNT('Start List'!A:A)+IF(Data!$AP$6=3,1,IF(Data!$AP$6=2,2,COUNTIF('Start List'!$I$9:$I$14,"&lt;21")))='Match Play Standings'!A56,A56=""),"",'Match Play Standings'!A56+1)</f>
        <v/>
      </c>
      <c r="B57" s="74" t="str">
        <f>IF(A57="","",IF(Data!$AP$6=1,VLOOKUP(SMALL('Start List'!$I$9:$I$139,A57),'Start List'!$I$9:$J$14,2,FALSE),IF(Data!$AP$6=2,'Men-Women'!B57,Data!$AK$2)))</f>
        <v/>
      </c>
      <c r="C57" s="75" t="str">
        <f>IF(OR(B57="",COUNTIF($B$9:B57,B57)=1),"",COUNTIF($B$9:B57,B57)-1)</f>
        <v/>
      </c>
      <c r="D57" s="76" t="str">
        <f ca="1">IF(""=C57,"",LARGE(INDIRECT(VLOOKUP(B57,'Start List'!$J$9:$P$14,Data!$AP$6+4,FALSE)),C57))</f>
        <v/>
      </c>
      <c r="E57" s="77" t="e">
        <f t="shared" si="1"/>
        <v>#N/A</v>
      </c>
      <c r="F57" s="80" t="e">
        <f>"'"&amp;VLOOKUP(B57,Translation!$A$2:$E$72,2,FALSE)&amp;"'!"</f>
        <v>#N/A</v>
      </c>
      <c r="G57" s="80" t="e">
        <f>INDEX(Data!$AJ$49:$AJ$64,MATCH(C57,Data!$AI$49:$AI$64))</f>
        <v>#N/A</v>
      </c>
      <c r="H57" s="80" t="e">
        <f t="shared" si="2"/>
        <v>#N/A</v>
      </c>
      <c r="I57" s="80" t="e">
        <f t="shared" ca="1" si="3"/>
        <v>#N/A</v>
      </c>
      <c r="J57" s="77" t="str">
        <f ca="1">IF(OR(C57&lt;17,C57=""),IF(B57&lt;&gt;B56,B57,IF($D57="","",INDIRECT(H57))),VLOOKUP(D57,'Start List'!$B$15:$D$120,J$8,FALSE))</f>
        <v/>
      </c>
      <c r="K57" s="77" t="str">
        <f ca="1">IF(OR($D57="",J57=""),"",VLOOKUP($J57,'Start List'!$D$15:$Y$120,'Match Play Standings'!K$8,FALSE))</f>
        <v/>
      </c>
      <c r="L57" s="79" t="str">
        <f ca="1">IF(OR($D57="",J57=""),"",VLOOKUP($J57,'Start List'!$D$15:$Y$120,'Match Play Standings'!L$8,FALSE))</f>
        <v/>
      </c>
      <c r="M57" s="207" t="str">
        <f ca="1">IF(OR($D57="",J57=""),"",VLOOKUP($J57,'Start List'!$D$15:$Y$120,'Match Play Standings'!M$8,FALSE))</f>
        <v/>
      </c>
      <c r="N57" s="210" t="str">
        <f ca="1">IF(OR($D57="",J57=""),"",VLOOKUP($J57,'Start List'!$D$15:$Y$120,'Match Play Standings'!N$8,FALSE))</f>
        <v/>
      </c>
      <c r="O57" s="210" t="str">
        <f ca="1">IF(OR($D57="",J57=""),"",VLOOKUP($J57,'Start List'!$D$15:$Y$120,'Match Play Standings'!O$8,FALSE))</f>
        <v/>
      </c>
      <c r="P57" s="234" t="str">
        <f t="shared" ca="1" si="4"/>
        <v/>
      </c>
      <c r="Q57" s="79" t="str">
        <f t="shared" ca="1" si="7"/>
        <v/>
      </c>
      <c r="R57" s="79" t="str">
        <f t="shared" ca="1" si="8"/>
        <v/>
      </c>
      <c r="S57" s="79" t="str">
        <f t="shared" ca="1" si="8"/>
        <v/>
      </c>
      <c r="T57" s="79" t="str">
        <f t="shared" ca="1" si="8"/>
        <v/>
      </c>
    </row>
    <row r="58" spans="1:20" ht="12.75" customHeight="1" x14ac:dyDescent="0.2">
      <c r="A58" s="59" t="str">
        <f>IF(OR(COUNT('Start List'!A:A)+IF(Data!$AP$6=3,1,IF(Data!$AP$6=2,2,COUNTIF('Start List'!$I$9:$I$14,"&lt;21")))='Match Play Standings'!A57,A57=""),"",'Match Play Standings'!A57+1)</f>
        <v/>
      </c>
      <c r="B58" s="74" t="str">
        <f>IF(A58="","",IF(Data!$AP$6=1,VLOOKUP(SMALL('Start List'!$I$9:$I$139,A58),'Start List'!$I$9:$J$14,2,FALSE),IF(Data!$AP$6=2,'Men-Women'!B58,Data!$AK$2)))</f>
        <v/>
      </c>
      <c r="C58" s="75" t="str">
        <f>IF(OR(B58="",COUNTIF($B$9:B58,B58)=1),"",COUNTIF($B$9:B58,B58)-1)</f>
        <v/>
      </c>
      <c r="D58" s="76" t="str">
        <f ca="1">IF(""=C58,"",LARGE(INDIRECT(VLOOKUP(B58,'Start List'!$J$9:$P$14,Data!$AP$6+4,FALSE)),C58))</f>
        <v/>
      </c>
      <c r="E58" s="77" t="e">
        <f t="shared" si="1"/>
        <v>#N/A</v>
      </c>
      <c r="F58" s="80" t="e">
        <f>"'"&amp;VLOOKUP(B58,Translation!$A$2:$E$72,2,FALSE)&amp;"'!"</f>
        <v>#N/A</v>
      </c>
      <c r="G58" s="80" t="e">
        <f>INDEX(Data!$AJ$49:$AJ$64,MATCH(C58,Data!$AI$49:$AI$64))</f>
        <v>#N/A</v>
      </c>
      <c r="H58" s="80" t="e">
        <f t="shared" si="2"/>
        <v>#N/A</v>
      </c>
      <c r="I58" s="80" t="e">
        <f t="shared" ca="1" si="3"/>
        <v>#N/A</v>
      </c>
      <c r="J58" s="77" t="str">
        <f ca="1">IF(OR(C58&lt;17,C58=""),IF(B58&lt;&gt;B57,B58,IF($D58="","",INDIRECT(H58))),VLOOKUP(D58,'Start List'!$B$15:$D$120,J$8,FALSE))</f>
        <v/>
      </c>
      <c r="K58" s="77" t="str">
        <f ca="1">IF(OR($D58="",J58=""),"",VLOOKUP($J58,'Start List'!$D$15:$Y$120,'Match Play Standings'!K$8,FALSE))</f>
        <v/>
      </c>
      <c r="L58" s="79" t="str">
        <f ca="1">IF(OR($D58="",J58=""),"",VLOOKUP($J58,'Start List'!$D$15:$Y$120,'Match Play Standings'!L$8,FALSE))</f>
        <v/>
      </c>
      <c r="M58" s="207" t="str">
        <f ca="1">IF(OR($D58="",J58=""),"",VLOOKUP($J58,'Start List'!$D$15:$Y$120,'Match Play Standings'!M$8,FALSE))</f>
        <v/>
      </c>
      <c r="N58" s="210" t="str">
        <f ca="1">IF(OR($D58="",J58=""),"",VLOOKUP($J58,'Start List'!$D$15:$Y$120,'Match Play Standings'!N$8,FALSE))</f>
        <v/>
      </c>
      <c r="O58" s="210" t="str">
        <f ca="1">IF(OR($D58="",J58=""),"",VLOOKUP($J58,'Start List'!$D$15:$Y$120,'Match Play Standings'!O$8,FALSE))</f>
        <v/>
      </c>
      <c r="P58" s="234" t="str">
        <f t="shared" ca="1" si="4"/>
        <v/>
      </c>
      <c r="Q58" s="79" t="str">
        <f t="shared" ca="1" si="7"/>
        <v/>
      </c>
      <c r="R58" s="79" t="str">
        <f t="shared" ca="1" si="8"/>
        <v/>
      </c>
      <c r="S58" s="79" t="str">
        <f t="shared" ca="1" si="8"/>
        <v/>
      </c>
      <c r="T58" s="79" t="str">
        <f t="shared" ca="1" si="8"/>
        <v/>
      </c>
    </row>
    <row r="59" spans="1:20" ht="12.75" customHeight="1" x14ac:dyDescent="0.2">
      <c r="A59" s="59" t="str">
        <f>IF(OR(COUNT('Start List'!A:A)+IF(Data!$AP$6=3,1,IF(Data!$AP$6=2,2,COUNTIF('Start List'!$I$9:$I$14,"&lt;21")))='Match Play Standings'!A58,A58=""),"",'Match Play Standings'!A58+1)</f>
        <v/>
      </c>
      <c r="B59" s="74" t="str">
        <f>IF(A59="","",IF(Data!$AP$6=1,VLOOKUP(SMALL('Start List'!$I$9:$I$139,A59),'Start List'!$I$9:$J$14,2,FALSE),IF(Data!$AP$6=2,'Men-Women'!B59,Data!$AK$2)))</f>
        <v/>
      </c>
      <c r="C59" s="75" t="str">
        <f>IF(OR(B59="",COUNTIF($B$9:B59,B59)=1),"",COUNTIF($B$9:B59,B59)-1)</f>
        <v/>
      </c>
      <c r="D59" s="76" t="str">
        <f ca="1">IF(""=C59,"",LARGE(INDIRECT(VLOOKUP(B59,'Start List'!$J$9:$P$14,Data!$AP$6+4,FALSE)),C59))</f>
        <v/>
      </c>
      <c r="E59" s="77" t="e">
        <f t="shared" si="1"/>
        <v>#N/A</v>
      </c>
      <c r="F59" s="80" t="e">
        <f>"'"&amp;VLOOKUP(B59,Translation!$A$2:$E$72,2,FALSE)&amp;"'!"</f>
        <v>#N/A</v>
      </c>
      <c r="G59" s="80" t="e">
        <f>INDEX(Data!$AJ$49:$AJ$64,MATCH(C59,Data!$AI$49:$AI$64))</f>
        <v>#N/A</v>
      </c>
      <c r="H59" s="80" t="e">
        <f t="shared" si="2"/>
        <v>#N/A</v>
      </c>
      <c r="I59" s="80" t="e">
        <f t="shared" ca="1" si="3"/>
        <v>#N/A</v>
      </c>
      <c r="J59" s="77" t="str">
        <f ca="1">IF(OR(C59&lt;17,C59=""),IF(B59&lt;&gt;B58,B59,IF($D59="","",INDIRECT(H59))),VLOOKUP(D59,'Start List'!$B$15:$D$120,J$8,FALSE))</f>
        <v/>
      </c>
      <c r="K59" s="77" t="str">
        <f ca="1">IF(OR($D59="",J59=""),"",VLOOKUP($J59,'Start List'!$D$15:$Y$120,'Match Play Standings'!K$8,FALSE))</f>
        <v/>
      </c>
      <c r="L59" s="79" t="str">
        <f ca="1">IF(OR($D59="",J59=""),"",VLOOKUP($J59,'Start List'!$D$15:$Y$120,'Match Play Standings'!L$8,FALSE))</f>
        <v/>
      </c>
      <c r="M59" s="207" t="str">
        <f ca="1">IF(OR($D59="",J59=""),"",VLOOKUP($J59,'Start List'!$D$15:$Y$120,'Match Play Standings'!M$8,FALSE))</f>
        <v/>
      </c>
      <c r="N59" s="210" t="str">
        <f ca="1">IF(OR($D59="",J59=""),"",VLOOKUP($J59,'Start List'!$D$15:$Y$120,'Match Play Standings'!N$8,FALSE))</f>
        <v/>
      </c>
      <c r="O59" s="210" t="str">
        <f ca="1">IF(OR($D59="",J59=""),"",VLOOKUP($J59,'Start List'!$D$15:$Y$120,'Match Play Standings'!O$8,FALSE))</f>
        <v/>
      </c>
      <c r="P59" s="234" t="str">
        <f t="shared" ca="1" si="4"/>
        <v/>
      </c>
      <c r="Q59" s="79" t="str">
        <f t="shared" ca="1" si="7"/>
        <v/>
      </c>
      <c r="R59" s="79" t="str">
        <f t="shared" ca="1" si="8"/>
        <v/>
      </c>
      <c r="S59" s="79" t="str">
        <f t="shared" ca="1" si="8"/>
        <v/>
      </c>
      <c r="T59" s="79" t="str">
        <f t="shared" ca="1" si="8"/>
        <v/>
      </c>
    </row>
    <row r="60" spans="1:20" ht="12.75" customHeight="1" x14ac:dyDescent="0.2">
      <c r="A60" s="59" t="str">
        <f>IF(OR(COUNT('Start List'!A:A)+IF(Data!$AP$6=3,1,IF(Data!$AP$6=2,2,COUNTIF('Start List'!$I$9:$I$14,"&lt;21")))='Match Play Standings'!A59,A59=""),"",'Match Play Standings'!A59+1)</f>
        <v/>
      </c>
      <c r="B60" s="74" t="str">
        <f>IF(A60="","",IF(Data!$AP$6=1,VLOOKUP(SMALL('Start List'!$I$9:$I$139,A60),'Start List'!$I$9:$J$14,2,FALSE),IF(Data!$AP$6=2,'Men-Women'!B60,Data!$AK$2)))</f>
        <v/>
      </c>
      <c r="C60" s="75" t="str">
        <f>IF(OR(B60="",COUNTIF($B$9:B60,B60)=1),"",COUNTIF($B$9:B60,B60)-1)</f>
        <v/>
      </c>
      <c r="D60" s="76" t="str">
        <f ca="1">IF(""=C60,"",LARGE(INDIRECT(VLOOKUP(B60,'Start List'!$J$9:$P$14,Data!$AP$6+4,FALSE)),C60))</f>
        <v/>
      </c>
      <c r="E60" s="77" t="e">
        <f t="shared" si="1"/>
        <v>#N/A</v>
      </c>
      <c r="F60" s="80" t="e">
        <f>"'"&amp;VLOOKUP(B60,Translation!$A$2:$E$72,2,FALSE)&amp;"'!"</f>
        <v>#N/A</v>
      </c>
      <c r="G60" s="80" t="e">
        <f>INDEX(Data!$AJ$49:$AJ$64,MATCH(C60,Data!$AI$49:$AI$64))</f>
        <v>#N/A</v>
      </c>
      <c r="H60" s="80" t="e">
        <f t="shared" si="2"/>
        <v>#N/A</v>
      </c>
      <c r="I60" s="80" t="e">
        <f t="shared" ca="1" si="3"/>
        <v>#N/A</v>
      </c>
      <c r="J60" s="77" t="str">
        <f ca="1">IF(OR(C60&lt;17,C60=""),IF(B60&lt;&gt;B59,B60,IF($D60="","",INDIRECT(H60))),VLOOKUP(D60,'Start List'!$B$15:$D$120,J$8,FALSE))</f>
        <v/>
      </c>
      <c r="K60" s="77" t="str">
        <f ca="1">IF(OR($D60="",J60=""),"",VLOOKUP($J60,'Start List'!$D$15:$Y$120,'Match Play Standings'!K$8,FALSE))</f>
        <v/>
      </c>
      <c r="L60" s="79" t="str">
        <f ca="1">IF(OR($D60="",J60=""),"",VLOOKUP($J60,'Start List'!$D$15:$Y$120,'Match Play Standings'!L$8,FALSE))</f>
        <v/>
      </c>
      <c r="M60" s="207" t="str">
        <f ca="1">IF(OR($D60="",J60=""),"",VLOOKUP($J60,'Start List'!$D$15:$Y$120,'Match Play Standings'!M$8,FALSE))</f>
        <v/>
      </c>
      <c r="N60" s="210" t="str">
        <f ca="1">IF(OR($D60="",J60=""),"",VLOOKUP($J60,'Start List'!$D$15:$Y$120,'Match Play Standings'!N$8,FALSE))</f>
        <v/>
      </c>
      <c r="O60" s="210" t="str">
        <f ca="1">IF(OR($D60="",J60=""),"",VLOOKUP($J60,'Start List'!$D$15:$Y$120,'Match Play Standings'!O$8,FALSE))</f>
        <v/>
      </c>
      <c r="P60" s="234" t="str">
        <f t="shared" ca="1" si="4"/>
        <v/>
      </c>
      <c r="Q60" s="79" t="str">
        <f t="shared" ca="1" si="7"/>
        <v/>
      </c>
      <c r="R60" s="79" t="str">
        <f t="shared" ca="1" si="8"/>
        <v/>
      </c>
      <c r="S60" s="79" t="str">
        <f t="shared" ca="1" si="8"/>
        <v/>
      </c>
      <c r="T60" s="79" t="str">
        <f t="shared" ca="1" si="8"/>
        <v/>
      </c>
    </row>
    <row r="61" spans="1:20" ht="12.75" customHeight="1" x14ac:dyDescent="0.2">
      <c r="A61" s="59" t="str">
        <f>IF(OR(COUNT('Start List'!A:A)+IF(Data!$AP$6=3,1,IF(Data!$AP$6=2,2,COUNTIF('Start List'!$I$9:$I$14,"&lt;21")))='Match Play Standings'!A60,A60=""),"",'Match Play Standings'!A60+1)</f>
        <v/>
      </c>
      <c r="B61" s="74" t="str">
        <f>IF(A61="","",IF(Data!$AP$6=1,VLOOKUP(SMALL('Start List'!$I$9:$I$139,A61),'Start List'!$I$9:$J$14,2,FALSE),IF(Data!$AP$6=2,'Men-Women'!B61,Data!$AK$2)))</f>
        <v/>
      </c>
      <c r="C61" s="75" t="str">
        <f>IF(OR(B61="",COUNTIF($B$9:B61,B61)=1),"",COUNTIF($B$9:B61,B61)-1)</f>
        <v/>
      </c>
      <c r="D61" s="76" t="str">
        <f ca="1">IF(""=C61,"",LARGE(INDIRECT(VLOOKUP(B61,'Start List'!$J$9:$P$14,Data!$AP$6+4,FALSE)),C61))</f>
        <v/>
      </c>
      <c r="E61" s="77" t="e">
        <f t="shared" si="1"/>
        <v>#N/A</v>
      </c>
      <c r="F61" s="80" t="e">
        <f>"'"&amp;VLOOKUP(B61,Translation!$A$2:$E$72,2,FALSE)&amp;"'!"</f>
        <v>#N/A</v>
      </c>
      <c r="G61" s="80" t="e">
        <f>INDEX(Data!$AJ$49:$AJ$64,MATCH(C61,Data!$AI$49:$AI$64))</f>
        <v>#N/A</v>
      </c>
      <c r="H61" s="80" t="e">
        <f t="shared" si="2"/>
        <v>#N/A</v>
      </c>
      <c r="I61" s="80" t="e">
        <f t="shared" ca="1" si="3"/>
        <v>#N/A</v>
      </c>
      <c r="J61" s="77" t="str">
        <f ca="1">IF(OR(C61&lt;17,C61=""),IF(B61&lt;&gt;B60,B61,IF($D61="","",INDIRECT(H61))),VLOOKUP(D61,'Start List'!$B$15:$D$120,J$8,FALSE))</f>
        <v/>
      </c>
      <c r="K61" s="77" t="str">
        <f ca="1">IF(OR($D61="",J61=""),"",VLOOKUP($J61,'Start List'!$D$15:$Y$120,'Match Play Standings'!K$8,FALSE))</f>
        <v/>
      </c>
      <c r="L61" s="79" t="str">
        <f ca="1">IF(OR($D61="",J61=""),"",VLOOKUP($J61,'Start List'!$D$15:$Y$120,'Match Play Standings'!L$8,FALSE))</f>
        <v/>
      </c>
      <c r="M61" s="207" t="str">
        <f ca="1">IF(OR($D61="",J61=""),"",VLOOKUP($J61,'Start List'!$D$15:$Y$120,'Match Play Standings'!M$8,FALSE))</f>
        <v/>
      </c>
      <c r="N61" s="210" t="str">
        <f ca="1">IF(OR($D61="",J61=""),"",VLOOKUP($J61,'Start List'!$D$15:$Y$120,'Match Play Standings'!N$8,FALSE))</f>
        <v/>
      </c>
      <c r="O61" s="210" t="str">
        <f ca="1">IF(OR($D61="",J61=""),"",VLOOKUP($J61,'Start List'!$D$15:$Y$120,'Match Play Standings'!O$8,FALSE))</f>
        <v/>
      </c>
      <c r="P61" s="234" t="str">
        <f t="shared" ca="1" si="4"/>
        <v/>
      </c>
      <c r="Q61" s="79" t="str">
        <f t="shared" ca="1" si="7"/>
        <v/>
      </c>
      <c r="R61" s="79" t="str">
        <f t="shared" ca="1" si="8"/>
        <v/>
      </c>
      <c r="S61" s="79" t="str">
        <f t="shared" ca="1" si="8"/>
        <v/>
      </c>
      <c r="T61" s="79" t="str">
        <f t="shared" ca="1" si="8"/>
        <v/>
      </c>
    </row>
    <row r="62" spans="1:20" ht="12.75" customHeight="1" x14ac:dyDescent="0.2">
      <c r="A62" s="59" t="str">
        <f>IF(OR(COUNT('Start List'!A:A)+IF(Data!$AP$6=3,1,IF(Data!$AP$6=2,2,COUNTIF('Start List'!$I$9:$I$14,"&lt;21")))='Match Play Standings'!A61,A61=""),"",'Match Play Standings'!A61+1)</f>
        <v/>
      </c>
      <c r="B62" s="74" t="str">
        <f>IF(A62="","",IF(Data!$AP$6=1,VLOOKUP(SMALL('Start List'!$I$9:$I$139,A62),'Start List'!$I$9:$J$14,2,FALSE),IF(Data!$AP$6=2,'Men-Women'!B62,Data!$AK$2)))</f>
        <v/>
      </c>
      <c r="C62" s="75" t="str">
        <f>IF(OR(B62="",COUNTIF($B$9:B62,B62)=1),"",COUNTIF($B$9:B62,B62)-1)</f>
        <v/>
      </c>
      <c r="D62" s="76" t="str">
        <f ca="1">IF(""=C62,"",LARGE(INDIRECT(VLOOKUP(B62,'Start List'!$J$9:$P$14,Data!$AP$6+4,FALSE)),C62))</f>
        <v/>
      </c>
      <c r="E62" s="77" t="e">
        <f t="shared" si="1"/>
        <v>#N/A</v>
      </c>
      <c r="F62" s="80" t="e">
        <f>"'"&amp;VLOOKUP(B62,Translation!$A$2:$E$72,2,FALSE)&amp;"'!"</f>
        <v>#N/A</v>
      </c>
      <c r="G62" s="80" t="e">
        <f>INDEX(Data!$AJ$49:$AJ$64,MATCH(C62,Data!$AI$49:$AI$64))</f>
        <v>#N/A</v>
      </c>
      <c r="H62" s="80" t="e">
        <f t="shared" si="2"/>
        <v>#N/A</v>
      </c>
      <c r="I62" s="80" t="e">
        <f t="shared" ca="1" si="3"/>
        <v>#N/A</v>
      </c>
      <c r="J62" s="77" t="str">
        <f ca="1">IF(OR(C62&lt;17,C62=""),IF(B62&lt;&gt;B61,B62,IF($D62="","",INDIRECT(H62))),VLOOKUP(D62,'Start List'!$B$15:$D$120,J$8,FALSE))</f>
        <v/>
      </c>
      <c r="K62" s="77" t="str">
        <f ca="1">IF(OR($D62="",J62=""),"",VLOOKUP($J62,'Start List'!$D$15:$Y$120,'Match Play Standings'!K$8,FALSE))</f>
        <v/>
      </c>
      <c r="L62" s="79" t="str">
        <f ca="1">IF(OR($D62="",J62=""),"",VLOOKUP($J62,'Start List'!$D$15:$Y$120,'Match Play Standings'!L$8,FALSE))</f>
        <v/>
      </c>
      <c r="M62" s="207" t="str">
        <f ca="1">IF(OR($D62="",J62=""),"",VLOOKUP($J62,'Start List'!$D$15:$Y$120,'Match Play Standings'!M$8,FALSE))</f>
        <v/>
      </c>
      <c r="N62" s="210" t="str">
        <f ca="1">IF(OR($D62="",J62=""),"",VLOOKUP($J62,'Start List'!$D$15:$Y$120,'Match Play Standings'!N$8,FALSE))</f>
        <v/>
      </c>
      <c r="O62" s="210" t="str">
        <f ca="1">IF(OR($D62="",J62=""),"",VLOOKUP($J62,'Start List'!$D$15:$Y$120,'Match Play Standings'!O$8,FALSE))</f>
        <v/>
      </c>
      <c r="P62" s="234" t="str">
        <f t="shared" ca="1" si="4"/>
        <v/>
      </c>
      <c r="Q62" s="79" t="str">
        <f t="shared" ca="1" si="7"/>
        <v/>
      </c>
      <c r="R62" s="79" t="str">
        <f t="shared" ca="1" si="8"/>
        <v/>
      </c>
      <c r="S62" s="79" t="str">
        <f t="shared" ca="1" si="8"/>
        <v/>
      </c>
      <c r="T62" s="79" t="str">
        <f t="shared" ca="1" si="8"/>
        <v/>
      </c>
    </row>
    <row r="63" spans="1:20" ht="12.75" customHeight="1" x14ac:dyDescent="0.2">
      <c r="A63" s="59" t="str">
        <f>IF(OR(COUNT('Start List'!A:A)+IF(Data!$AP$6=3,1,IF(Data!$AP$6=2,2,COUNTIF('Start List'!$I$9:$I$14,"&lt;21")))='Match Play Standings'!A62,A62=""),"",'Match Play Standings'!A62+1)</f>
        <v/>
      </c>
      <c r="B63" s="74" t="str">
        <f>IF(A63="","",IF(Data!$AP$6=1,VLOOKUP(SMALL('Start List'!$I$9:$I$139,A63),'Start List'!$I$9:$J$14,2,FALSE),IF(Data!$AP$6=2,'Men-Women'!B63,Data!$AK$2)))</f>
        <v/>
      </c>
      <c r="C63" s="75" t="str">
        <f>IF(OR(B63="",COUNTIF($B$9:B63,B63)=1),"",COUNTIF($B$9:B63,B63)-1)</f>
        <v/>
      </c>
      <c r="D63" s="76" t="str">
        <f ca="1">IF(""=C63,"",LARGE(INDIRECT(VLOOKUP(B63,'Start List'!$J$9:$P$14,Data!$AP$6+4,FALSE)),C63))</f>
        <v/>
      </c>
      <c r="E63" s="77" t="e">
        <f t="shared" si="1"/>
        <v>#N/A</v>
      </c>
      <c r="F63" s="80" t="e">
        <f>"'"&amp;VLOOKUP(B63,Translation!$A$2:$E$72,2,FALSE)&amp;"'!"</f>
        <v>#N/A</v>
      </c>
      <c r="G63" s="80" t="e">
        <f>INDEX(Data!$AJ$49:$AJ$64,MATCH(C63,Data!$AI$49:$AI$64))</f>
        <v>#N/A</v>
      </c>
      <c r="H63" s="80" t="e">
        <f t="shared" si="2"/>
        <v>#N/A</v>
      </c>
      <c r="I63" s="80" t="e">
        <f t="shared" ca="1" si="3"/>
        <v>#N/A</v>
      </c>
      <c r="J63" s="77" t="str">
        <f ca="1">IF(OR(C63&lt;17,C63=""),IF(B63&lt;&gt;B62,B63,IF($D63="","",INDIRECT(H63))),VLOOKUP(D63,'Start List'!$B$15:$D$120,J$8,FALSE))</f>
        <v/>
      </c>
      <c r="K63" s="77" t="str">
        <f ca="1">IF(OR($D63="",J63=""),"",VLOOKUP($J63,'Start List'!$D$15:$Y$120,'Match Play Standings'!K$8,FALSE))</f>
        <v/>
      </c>
      <c r="L63" s="79" t="str">
        <f ca="1">IF(OR($D63="",J63=""),"",VLOOKUP($J63,'Start List'!$D$15:$Y$120,'Match Play Standings'!L$8,FALSE))</f>
        <v/>
      </c>
      <c r="M63" s="207" t="str">
        <f ca="1">IF(OR($D63="",J63=""),"",VLOOKUP($J63,'Start List'!$D$15:$Y$120,'Match Play Standings'!M$8,FALSE))</f>
        <v/>
      </c>
      <c r="N63" s="210" t="str">
        <f ca="1">IF(OR($D63="",J63=""),"",VLOOKUP($J63,'Start List'!$D$15:$Y$120,'Match Play Standings'!N$8,FALSE))</f>
        <v/>
      </c>
      <c r="O63" s="210" t="str">
        <f ca="1">IF(OR($D63="",J63=""),"",VLOOKUP($J63,'Start List'!$D$15:$Y$120,'Match Play Standings'!O$8,FALSE))</f>
        <v/>
      </c>
      <c r="P63" s="234" t="str">
        <f t="shared" ca="1" si="4"/>
        <v/>
      </c>
      <c r="Q63" s="79" t="str">
        <f t="shared" ca="1" si="7"/>
        <v/>
      </c>
      <c r="R63" s="79" t="str">
        <f t="shared" ca="1" si="8"/>
        <v/>
      </c>
      <c r="S63" s="79" t="str">
        <f t="shared" ca="1" si="8"/>
        <v/>
      </c>
      <c r="T63" s="79" t="str">
        <f t="shared" ca="1" si="8"/>
        <v/>
      </c>
    </row>
    <row r="64" spans="1:20" ht="12.75" customHeight="1" x14ac:dyDescent="0.2">
      <c r="A64" s="59" t="str">
        <f>IF(OR(COUNT('Start List'!A:A)+IF(Data!$AP$6=3,1,IF(Data!$AP$6=2,2,COUNTIF('Start List'!$I$9:$I$14,"&lt;21")))='Match Play Standings'!A63,A63=""),"",'Match Play Standings'!A63+1)</f>
        <v/>
      </c>
      <c r="B64" s="74" t="str">
        <f>IF(A64="","",IF(Data!$AP$6=1,VLOOKUP(SMALL('Start List'!$I$9:$I$139,A64),'Start List'!$I$9:$J$14,2,FALSE),IF(Data!$AP$6=2,'Men-Women'!B64,Data!$AK$2)))</f>
        <v/>
      </c>
      <c r="C64" s="75" t="str">
        <f>IF(OR(B64="",COUNTIF($B$9:B64,B64)=1),"",COUNTIF($B$9:B64,B64)-1)</f>
        <v/>
      </c>
      <c r="D64" s="76" t="str">
        <f ca="1">IF(""=C64,"",LARGE(INDIRECT(VLOOKUP(B64,'Start List'!$J$9:$P$14,Data!$AP$6+4,FALSE)),C64))</f>
        <v/>
      </c>
      <c r="E64" s="77" t="e">
        <f t="shared" si="1"/>
        <v>#N/A</v>
      </c>
      <c r="F64" s="80" t="e">
        <f>"'"&amp;VLOOKUP(B64,Translation!$A$2:$E$72,2,FALSE)&amp;"'!"</f>
        <v>#N/A</v>
      </c>
      <c r="G64" s="80" t="e">
        <f>INDEX(Data!$AJ$49:$AJ$64,MATCH(C64,Data!$AI$49:$AI$64))</f>
        <v>#N/A</v>
      </c>
      <c r="H64" s="80" t="e">
        <f t="shared" si="2"/>
        <v>#N/A</v>
      </c>
      <c r="I64" s="80" t="e">
        <f t="shared" ca="1" si="3"/>
        <v>#N/A</v>
      </c>
      <c r="J64" s="77" t="str">
        <f ca="1">IF(OR(C64&lt;17,C64=""),IF(B64&lt;&gt;B63,B64,IF($D64="","",INDIRECT(H64))),VLOOKUP(D64,'Start List'!$B$15:$D$120,J$8,FALSE))</f>
        <v/>
      </c>
      <c r="K64" s="77" t="str">
        <f ca="1">IF(OR($D64="",J64=""),"",VLOOKUP($J64,'Start List'!$D$15:$Y$120,'Match Play Standings'!K$8,FALSE))</f>
        <v/>
      </c>
      <c r="L64" s="79" t="str">
        <f ca="1">IF(OR($D64="",J64=""),"",VLOOKUP($J64,'Start List'!$D$15:$Y$120,'Match Play Standings'!L$8,FALSE))</f>
        <v/>
      </c>
      <c r="M64" s="207" t="str">
        <f ca="1">IF(OR($D64="",J64=""),"",VLOOKUP($J64,'Start List'!$D$15:$Y$120,'Match Play Standings'!M$8,FALSE))</f>
        <v/>
      </c>
      <c r="N64" s="210" t="str">
        <f ca="1">IF(OR($D64="",J64=""),"",VLOOKUP($J64,'Start List'!$D$15:$Y$120,'Match Play Standings'!N$8,FALSE))</f>
        <v/>
      </c>
      <c r="O64" s="210" t="str">
        <f ca="1">IF(OR($D64="",J64=""),"",VLOOKUP($J64,'Start List'!$D$15:$Y$120,'Match Play Standings'!O$8,FALSE))</f>
        <v/>
      </c>
      <c r="P64" s="234" t="str">
        <f t="shared" ca="1" si="4"/>
        <v/>
      </c>
      <c r="Q64" s="79" t="str">
        <f t="shared" ca="1" si="7"/>
        <v/>
      </c>
      <c r="R64" s="79" t="str">
        <f t="shared" ca="1" si="8"/>
        <v/>
      </c>
      <c r="S64" s="79" t="str">
        <f t="shared" ca="1" si="8"/>
        <v/>
      </c>
      <c r="T64" s="79" t="str">
        <f t="shared" ca="1" si="8"/>
        <v/>
      </c>
    </row>
    <row r="65" spans="1:20" ht="12.75" customHeight="1" x14ac:dyDescent="0.2">
      <c r="A65" s="59" t="str">
        <f>IF(OR(COUNT('Start List'!A:A)+IF(Data!$AP$6=3,1,IF(Data!$AP$6=2,2,COUNTIF('Start List'!$I$9:$I$14,"&lt;21")))='Match Play Standings'!A64,A64=""),"",'Match Play Standings'!A64+1)</f>
        <v/>
      </c>
      <c r="B65" s="74" t="str">
        <f>IF(A65="","",IF(Data!$AP$6=1,VLOOKUP(SMALL('Start List'!$I$9:$I$139,A65),'Start List'!$I$9:$J$14,2,FALSE),IF(Data!$AP$6=2,'Men-Women'!B65,Data!$AK$2)))</f>
        <v/>
      </c>
      <c r="C65" s="75" t="str">
        <f>IF(OR(B65="",COUNTIF($B$9:B65,B65)=1),"",COUNTIF($B$9:B65,B65)-1)</f>
        <v/>
      </c>
      <c r="D65" s="76" t="str">
        <f ca="1">IF(""=C65,"",LARGE(INDIRECT(VLOOKUP(B65,'Start List'!$J$9:$P$14,Data!$AP$6+4,FALSE)),C65))</f>
        <v/>
      </c>
      <c r="E65" s="77" t="e">
        <f t="shared" si="1"/>
        <v>#N/A</v>
      </c>
      <c r="F65" s="80" t="e">
        <f>"'"&amp;VLOOKUP(B65,Translation!$A$2:$E$72,2,FALSE)&amp;"'!"</f>
        <v>#N/A</v>
      </c>
      <c r="G65" s="80" t="e">
        <f>INDEX(Data!$AJ$49:$AJ$64,MATCH(C65,Data!$AI$49:$AI$64))</f>
        <v>#N/A</v>
      </c>
      <c r="H65" s="80" t="e">
        <f t="shared" si="2"/>
        <v>#N/A</v>
      </c>
      <c r="I65" s="80" t="e">
        <f t="shared" ca="1" si="3"/>
        <v>#N/A</v>
      </c>
      <c r="J65" s="77" t="str">
        <f ca="1">IF(OR(C65&lt;17,C65=""),IF(B65&lt;&gt;B64,B65,IF($D65="","",INDIRECT(H65))),VLOOKUP(D65,'Start List'!$B$15:$D$120,J$8,FALSE))</f>
        <v/>
      </c>
      <c r="K65" s="77" t="str">
        <f ca="1">IF(OR($D65="",J65=""),"",VLOOKUP($J65,'Start List'!$D$15:$Y$120,'Match Play Standings'!K$8,FALSE))</f>
        <v/>
      </c>
      <c r="L65" s="79" t="str">
        <f ca="1">IF(OR($D65="",J65=""),"",VLOOKUP($J65,'Start List'!$D$15:$Y$120,'Match Play Standings'!L$8,FALSE))</f>
        <v/>
      </c>
      <c r="M65" s="207" t="str">
        <f ca="1">IF(OR($D65="",J65=""),"",VLOOKUP($J65,'Start List'!$D$15:$Y$120,'Match Play Standings'!M$8,FALSE))</f>
        <v/>
      </c>
      <c r="N65" s="210" t="str">
        <f ca="1">IF(OR($D65="",J65=""),"",VLOOKUP($J65,'Start List'!$D$15:$Y$120,'Match Play Standings'!N$8,FALSE))</f>
        <v/>
      </c>
      <c r="O65" s="210" t="str">
        <f ca="1">IF(OR($D65="",J65=""),"",VLOOKUP($J65,'Start List'!$D$15:$Y$120,'Match Play Standings'!O$8,FALSE))</f>
        <v/>
      </c>
      <c r="P65" s="234" t="str">
        <f t="shared" ca="1" si="4"/>
        <v/>
      </c>
      <c r="Q65" s="79" t="str">
        <f t="shared" ca="1" si="7"/>
        <v/>
      </c>
      <c r="R65" s="79" t="str">
        <f t="shared" ca="1" si="8"/>
        <v/>
      </c>
      <c r="S65" s="79" t="str">
        <f t="shared" ca="1" si="8"/>
        <v/>
      </c>
      <c r="T65" s="79" t="str">
        <f t="shared" ca="1" si="8"/>
        <v/>
      </c>
    </row>
    <row r="66" spans="1:20" ht="12.75" customHeight="1" x14ac:dyDescent="0.2">
      <c r="A66" s="59" t="str">
        <f>IF(OR(COUNT('Start List'!A:A)+IF(Data!$AP$6=3,1,IF(Data!$AP$6=2,2,COUNTIF('Start List'!$I$9:$I$14,"&lt;21")))='Match Play Standings'!A65,A65=""),"",'Match Play Standings'!A65+1)</f>
        <v/>
      </c>
      <c r="B66" s="74" t="str">
        <f>IF(A66="","",IF(Data!$AP$6=1,VLOOKUP(SMALL('Start List'!$I$9:$I$139,A66),'Start List'!$I$9:$J$14,2,FALSE),IF(Data!$AP$6=2,'Men-Women'!B66,Data!$AK$2)))</f>
        <v/>
      </c>
      <c r="C66" s="75" t="str">
        <f>IF(OR(B66="",COUNTIF($B$9:B66,B66)=1),"",COUNTIF($B$9:B66,B66)-1)</f>
        <v/>
      </c>
      <c r="D66" s="76" t="str">
        <f ca="1">IF(""=C66,"",LARGE(INDIRECT(VLOOKUP(B66,'Start List'!$J$9:$P$14,Data!$AP$6+4,FALSE)),C66))</f>
        <v/>
      </c>
      <c r="E66" s="77" t="e">
        <f t="shared" si="1"/>
        <v>#N/A</v>
      </c>
      <c r="F66" s="80" t="e">
        <f>"'"&amp;VLOOKUP(B66,Translation!$A$2:$E$72,2,FALSE)&amp;"'!"</f>
        <v>#N/A</v>
      </c>
      <c r="G66" s="80" t="e">
        <f>INDEX(Data!$AJ$49:$AJ$64,MATCH(C66,Data!$AI$49:$AI$64))</f>
        <v>#N/A</v>
      </c>
      <c r="H66" s="80" t="e">
        <f t="shared" si="2"/>
        <v>#N/A</v>
      </c>
      <c r="I66" s="80" t="e">
        <f t="shared" ca="1" si="3"/>
        <v>#N/A</v>
      </c>
      <c r="J66" s="77" t="str">
        <f ca="1">IF(OR(C66&lt;17,C66=""),IF(B66&lt;&gt;B65,B66,IF($D66="","",INDIRECT(H66))),VLOOKUP(D66,'Start List'!$B$15:$D$120,J$8,FALSE))</f>
        <v/>
      </c>
      <c r="K66" s="77" t="str">
        <f ca="1">IF(OR($D66="",J66=""),"",VLOOKUP($J66,'Start List'!$D$15:$Y$120,'Match Play Standings'!K$8,FALSE))</f>
        <v/>
      </c>
      <c r="L66" s="79" t="str">
        <f ca="1">IF(OR($D66="",J66=""),"",VLOOKUP($J66,'Start List'!$D$15:$Y$120,'Match Play Standings'!L$8,FALSE))</f>
        <v/>
      </c>
      <c r="M66" s="207" t="str">
        <f ca="1">IF(OR($D66="",J66=""),"",VLOOKUP($J66,'Start List'!$D$15:$Y$120,'Match Play Standings'!M$8,FALSE))</f>
        <v/>
      </c>
      <c r="N66" s="210" t="str">
        <f ca="1">IF(OR($D66="",J66=""),"",VLOOKUP($J66,'Start List'!$D$15:$Y$120,'Match Play Standings'!N$8,FALSE))</f>
        <v/>
      </c>
      <c r="O66" s="210" t="str">
        <f ca="1">IF(OR($D66="",J66=""),"",VLOOKUP($J66,'Start List'!$D$15:$Y$120,'Match Play Standings'!O$8,FALSE))</f>
        <v/>
      </c>
      <c r="P66" s="234" t="str">
        <f t="shared" ca="1" si="4"/>
        <v/>
      </c>
      <c r="Q66" s="79" t="str">
        <f t="shared" ca="1" si="7"/>
        <v/>
      </c>
      <c r="R66" s="79" t="str">
        <f t="shared" ca="1" si="8"/>
        <v/>
      </c>
      <c r="S66" s="79" t="str">
        <f t="shared" ca="1" si="8"/>
        <v/>
      </c>
      <c r="T66" s="79" t="str">
        <f t="shared" ca="1" si="8"/>
        <v/>
      </c>
    </row>
    <row r="67" spans="1:20" ht="12.75" customHeight="1" x14ac:dyDescent="0.2">
      <c r="A67" s="59" t="str">
        <f>IF(OR(COUNT('Start List'!A:A)+IF(Data!$AP$6=3,1,IF(Data!$AP$6=2,2,COUNTIF('Start List'!$I$9:$I$14,"&lt;21")))='Match Play Standings'!A66,A66=""),"",'Match Play Standings'!A66+1)</f>
        <v/>
      </c>
      <c r="B67" s="74" t="str">
        <f>IF(A67="","",IF(Data!$AP$6=1,VLOOKUP(SMALL('Start List'!$I$9:$I$139,A67),'Start List'!$I$9:$J$14,2,FALSE),IF(Data!$AP$6=2,'Men-Women'!B67,Data!$AK$2)))</f>
        <v/>
      </c>
      <c r="C67" s="75" t="str">
        <f>IF(OR(B67="",COUNTIF($B$9:B67,B67)=1),"",COUNTIF($B$9:B67,B67)-1)</f>
        <v/>
      </c>
      <c r="D67" s="76" t="str">
        <f ca="1">IF(""=C67,"",LARGE(INDIRECT(VLOOKUP(B67,'Start List'!$J$9:$P$14,Data!$AP$6+4,FALSE)),C67))</f>
        <v/>
      </c>
      <c r="E67" s="77" t="e">
        <f t="shared" si="1"/>
        <v>#N/A</v>
      </c>
      <c r="F67" s="80" t="e">
        <f>"'"&amp;VLOOKUP(B67,Translation!$A$2:$E$72,2,FALSE)&amp;"'!"</f>
        <v>#N/A</v>
      </c>
      <c r="G67" s="80" t="e">
        <f>INDEX(Data!$AJ$49:$AJ$64,MATCH(C67,Data!$AI$49:$AI$64))</f>
        <v>#N/A</v>
      </c>
      <c r="H67" s="80" t="e">
        <f t="shared" si="2"/>
        <v>#N/A</v>
      </c>
      <c r="I67" s="80" t="e">
        <f t="shared" ca="1" si="3"/>
        <v>#N/A</v>
      </c>
      <c r="J67" s="77" t="str">
        <f ca="1">IF(OR(C67&lt;17,C67=""),IF(B67&lt;&gt;B66,B67,IF($D67="","",INDIRECT(H67))),VLOOKUP(D67,'Start List'!$B$15:$D$120,J$8,FALSE))</f>
        <v/>
      </c>
      <c r="K67" s="77" t="str">
        <f ca="1">IF(OR($D67="",J67=""),"",VLOOKUP($J67,'Start List'!$D$15:$Y$120,'Match Play Standings'!K$8,FALSE))</f>
        <v/>
      </c>
      <c r="L67" s="79" t="str">
        <f ca="1">IF(OR($D67="",J67=""),"",VLOOKUP($J67,'Start List'!$D$15:$Y$120,'Match Play Standings'!L$8,FALSE))</f>
        <v/>
      </c>
      <c r="M67" s="207" t="str">
        <f ca="1">IF(OR($D67="",J67=""),"",VLOOKUP($J67,'Start List'!$D$15:$Y$120,'Match Play Standings'!M$8,FALSE))</f>
        <v/>
      </c>
      <c r="N67" s="210" t="str">
        <f ca="1">IF(OR($D67="",J67=""),"",VLOOKUP($J67,'Start List'!$D$15:$Y$120,'Match Play Standings'!N$8,FALSE))</f>
        <v/>
      </c>
      <c r="O67" s="210" t="str">
        <f ca="1">IF(OR($D67="",J67=""),"",VLOOKUP($J67,'Start List'!$D$15:$Y$120,'Match Play Standings'!O$8,FALSE))</f>
        <v/>
      </c>
      <c r="P67" s="234" t="str">
        <f t="shared" ca="1" si="4"/>
        <v/>
      </c>
      <c r="Q67" s="79" t="str">
        <f t="shared" ca="1" si="7"/>
        <v/>
      </c>
      <c r="R67" s="79" t="str">
        <f t="shared" ca="1" si="8"/>
        <v/>
      </c>
      <c r="S67" s="79" t="str">
        <f t="shared" ca="1" si="8"/>
        <v/>
      </c>
      <c r="T67" s="79" t="str">
        <f t="shared" ca="1" si="8"/>
        <v/>
      </c>
    </row>
    <row r="68" spans="1:20" ht="12.75" customHeight="1" x14ac:dyDescent="0.2">
      <c r="A68" s="59" t="str">
        <f>IF(OR(COUNT('Start List'!A:A)+IF(Data!$AP$6=3,1,IF(Data!$AP$6=2,2,COUNTIF('Start List'!$I$9:$I$14,"&lt;21")))='Match Play Standings'!A67,A67=""),"",'Match Play Standings'!A67+1)</f>
        <v/>
      </c>
      <c r="B68" s="74" t="str">
        <f>IF(A68="","",IF(Data!$AP$6=1,VLOOKUP(SMALL('Start List'!$I$9:$I$139,A68),'Start List'!$I$9:$J$14,2,FALSE),IF(Data!$AP$6=2,'Men-Women'!B68,Data!$AK$2)))</f>
        <v/>
      </c>
      <c r="C68" s="75" t="str">
        <f>IF(OR(B68="",COUNTIF($B$9:B68,B68)=1),"",COUNTIF($B$9:B68,B68)-1)</f>
        <v/>
      </c>
      <c r="D68" s="76" t="str">
        <f ca="1">IF(""=C68,"",LARGE(INDIRECT(VLOOKUP(B68,'Start List'!$J$9:$P$14,Data!$AP$6+4,FALSE)),C68))</f>
        <v/>
      </c>
      <c r="E68" s="77" t="e">
        <f t="shared" si="1"/>
        <v>#N/A</v>
      </c>
      <c r="F68" s="80" t="e">
        <f>"'"&amp;VLOOKUP(B68,Translation!$A$2:$E$72,2,FALSE)&amp;"'!"</f>
        <v>#N/A</v>
      </c>
      <c r="G68" s="80" t="e">
        <f>INDEX(Data!$AJ$49:$AJ$64,MATCH(C68,Data!$AI$49:$AI$64))</f>
        <v>#N/A</v>
      </c>
      <c r="H68" s="80" t="e">
        <f t="shared" si="2"/>
        <v>#N/A</v>
      </c>
      <c r="I68" s="80" t="e">
        <f t="shared" ca="1" si="3"/>
        <v>#N/A</v>
      </c>
      <c r="J68" s="77" t="str">
        <f ca="1">IF(OR(C68&lt;17,C68=""),IF(B68&lt;&gt;B67,B68,IF($D68="","",INDIRECT(H68))),VLOOKUP(D68,'Start List'!$B$15:$D$120,J$8,FALSE))</f>
        <v/>
      </c>
      <c r="K68" s="77" t="str">
        <f ca="1">IF(OR($D68="",J68=""),"",VLOOKUP($J68,'Start List'!$D$15:$Y$120,'Match Play Standings'!K$8,FALSE))</f>
        <v/>
      </c>
      <c r="L68" s="79" t="str">
        <f ca="1">IF(OR($D68="",J68=""),"",VLOOKUP($J68,'Start List'!$D$15:$Y$120,'Match Play Standings'!L$8,FALSE))</f>
        <v/>
      </c>
      <c r="M68" s="207" t="str">
        <f ca="1">IF(OR($D68="",J68=""),"",VLOOKUP($J68,'Start List'!$D$15:$Y$120,'Match Play Standings'!M$8,FALSE))</f>
        <v/>
      </c>
      <c r="N68" s="210" t="str">
        <f ca="1">IF(OR($D68="",J68=""),"",VLOOKUP($J68,'Start List'!$D$15:$Y$120,'Match Play Standings'!N$8,FALSE))</f>
        <v/>
      </c>
      <c r="O68" s="210" t="str">
        <f ca="1">IF(OR($D68="",J68=""),"",VLOOKUP($J68,'Start List'!$D$15:$Y$120,'Match Play Standings'!O$8,FALSE))</f>
        <v/>
      </c>
      <c r="P68" s="234" t="str">
        <f t="shared" ca="1" si="4"/>
        <v/>
      </c>
      <c r="Q68" s="79" t="str">
        <f t="shared" ca="1" si="7"/>
        <v/>
      </c>
      <c r="R68" s="79" t="str">
        <f t="shared" ca="1" si="8"/>
        <v/>
      </c>
      <c r="S68" s="79" t="str">
        <f t="shared" ca="1" si="8"/>
        <v/>
      </c>
      <c r="T68" s="79" t="str">
        <f t="shared" ca="1" si="8"/>
        <v/>
      </c>
    </row>
    <row r="69" spans="1:20" ht="12.75" customHeight="1" x14ac:dyDescent="0.2">
      <c r="A69" s="59" t="str">
        <f>IF(OR(COUNT('Start List'!A:A)+IF(Data!$AP$6=3,1,IF(Data!$AP$6=2,2,COUNTIF('Start List'!$I$9:$I$14,"&lt;21")))='Match Play Standings'!A68,A68=""),"",'Match Play Standings'!A68+1)</f>
        <v/>
      </c>
      <c r="B69" s="74" t="str">
        <f>IF(A69="","",IF(Data!$AP$6=1,VLOOKUP(SMALL('Start List'!$I$9:$I$139,A69),'Start List'!$I$9:$J$14,2,FALSE),IF(Data!$AP$6=2,'Men-Women'!B69,Data!$AK$2)))</f>
        <v/>
      </c>
      <c r="C69" s="75" t="str">
        <f>IF(OR(B69="",COUNTIF($B$9:B69,B69)=1),"",COUNTIF($B$9:B69,B69)-1)</f>
        <v/>
      </c>
      <c r="D69" s="76" t="str">
        <f ca="1">IF(""=C69,"",LARGE(INDIRECT(VLOOKUP(B69,'Start List'!$J$9:$P$14,Data!$AP$6+4,FALSE)),C69))</f>
        <v/>
      </c>
      <c r="E69" s="77" t="e">
        <f t="shared" si="1"/>
        <v>#N/A</v>
      </c>
      <c r="F69" s="80" t="e">
        <f>"'"&amp;VLOOKUP(B69,Translation!$A$2:$E$72,2,FALSE)&amp;"'!"</f>
        <v>#N/A</v>
      </c>
      <c r="G69" s="80" t="e">
        <f>INDEX(Data!$AJ$49:$AJ$64,MATCH(C69,Data!$AI$49:$AI$64))</f>
        <v>#N/A</v>
      </c>
      <c r="H69" s="80" t="e">
        <f t="shared" si="2"/>
        <v>#N/A</v>
      </c>
      <c r="I69" s="80" t="e">
        <f t="shared" ca="1" si="3"/>
        <v>#N/A</v>
      </c>
      <c r="J69" s="77" t="str">
        <f ca="1">IF(OR(C69&lt;17,C69=""),IF(B69&lt;&gt;B68,B69,IF($D69="","",INDIRECT(H69))),VLOOKUP(D69,'Start List'!$B$15:$D$120,J$8,FALSE))</f>
        <v/>
      </c>
      <c r="K69" s="77" t="str">
        <f ca="1">IF(OR($D69="",J69=""),"",VLOOKUP($J69,'Start List'!$D$15:$Y$120,'Match Play Standings'!K$8,FALSE))</f>
        <v/>
      </c>
      <c r="L69" s="79" t="str">
        <f ca="1">IF(OR($D69="",J69=""),"",VLOOKUP($J69,'Start List'!$D$15:$Y$120,'Match Play Standings'!L$8,FALSE))</f>
        <v/>
      </c>
      <c r="M69" s="207" t="str">
        <f ca="1">IF(OR($D69="",J69=""),"",VLOOKUP($J69,'Start List'!$D$15:$Y$120,'Match Play Standings'!M$8,FALSE))</f>
        <v/>
      </c>
      <c r="N69" s="210" t="str">
        <f ca="1">IF(OR($D69="",J69=""),"",VLOOKUP($J69,'Start List'!$D$15:$Y$120,'Match Play Standings'!N$8,FALSE))</f>
        <v/>
      </c>
      <c r="O69" s="210" t="str">
        <f ca="1">IF(OR($D69="",J69=""),"",VLOOKUP($J69,'Start List'!$D$15:$Y$120,'Match Play Standings'!O$8,FALSE))</f>
        <v/>
      </c>
      <c r="P69" s="234" t="str">
        <f t="shared" ca="1" si="4"/>
        <v/>
      </c>
      <c r="Q69" s="79" t="str">
        <f t="shared" ca="1" si="7"/>
        <v/>
      </c>
      <c r="R69" s="79" t="str">
        <f t="shared" ca="1" si="8"/>
        <v/>
      </c>
      <c r="S69" s="79" t="str">
        <f t="shared" ca="1" si="8"/>
        <v/>
      </c>
      <c r="T69" s="79" t="str">
        <f t="shared" ca="1" si="8"/>
        <v/>
      </c>
    </row>
    <row r="70" spans="1:20" ht="12.75" customHeight="1" x14ac:dyDescent="0.2">
      <c r="A70" s="59" t="str">
        <f>IF(OR(COUNT('Start List'!A:A)+IF(Data!$AP$6=3,1,IF(Data!$AP$6=2,2,COUNTIF('Start List'!$I$9:$I$14,"&lt;21")))='Match Play Standings'!A69,A69=""),"",'Match Play Standings'!A69+1)</f>
        <v/>
      </c>
      <c r="B70" s="74" t="str">
        <f>IF(A70="","",IF(Data!$AP$6=1,VLOOKUP(SMALL('Start List'!$I$9:$I$139,A70),'Start List'!$I$9:$J$14,2,FALSE),IF(Data!$AP$6=2,'Men-Women'!B70,Data!$AK$2)))</f>
        <v/>
      </c>
      <c r="C70" s="75" t="str">
        <f>IF(OR(B70="",COUNTIF($B$9:B70,B70)=1),"",COUNTIF($B$9:B70,B70)-1)</f>
        <v/>
      </c>
      <c r="D70" s="76" t="str">
        <f ca="1">IF(""=C70,"",LARGE(INDIRECT(VLOOKUP(B70,'Start List'!$J$9:$P$14,Data!$AP$6+4,FALSE)),C70))</f>
        <v/>
      </c>
      <c r="E70" s="77" t="e">
        <f t="shared" si="1"/>
        <v>#N/A</v>
      </c>
      <c r="F70" s="80" t="e">
        <f>"'"&amp;VLOOKUP(B70,Translation!$A$2:$E$72,2,FALSE)&amp;"'!"</f>
        <v>#N/A</v>
      </c>
      <c r="G70" s="80" t="e">
        <f>INDEX(Data!$AJ$49:$AJ$64,MATCH(C70,Data!$AI$49:$AI$64))</f>
        <v>#N/A</v>
      </c>
      <c r="H70" s="80" t="e">
        <f t="shared" si="2"/>
        <v>#N/A</v>
      </c>
      <c r="I70" s="80" t="e">
        <f t="shared" ca="1" si="3"/>
        <v>#N/A</v>
      </c>
      <c r="J70" s="77" t="str">
        <f ca="1">IF(OR(C70&lt;17,C70=""),IF(B70&lt;&gt;B69,B70,IF($D70="","",INDIRECT(H70))),VLOOKUP(D70,'Start List'!$B$15:$D$120,J$8,FALSE))</f>
        <v/>
      </c>
      <c r="K70" s="77" t="str">
        <f ca="1">IF(OR($D70="",J70=""),"",VLOOKUP($J70,'Start List'!$D$15:$Y$120,'Match Play Standings'!K$8,FALSE))</f>
        <v/>
      </c>
      <c r="L70" s="79" t="str">
        <f ca="1">IF(OR($D70="",J70=""),"",VLOOKUP($J70,'Start List'!$D$15:$Y$120,'Match Play Standings'!L$8,FALSE))</f>
        <v/>
      </c>
      <c r="M70" s="207" t="str">
        <f ca="1">IF(OR($D70="",J70=""),"",VLOOKUP($J70,'Start List'!$D$15:$Y$120,'Match Play Standings'!M$8,FALSE))</f>
        <v/>
      </c>
      <c r="N70" s="210" t="str">
        <f ca="1">IF(OR($D70="",J70=""),"",VLOOKUP($J70,'Start List'!$D$15:$Y$120,'Match Play Standings'!N$8,FALSE))</f>
        <v/>
      </c>
      <c r="O70" s="210" t="str">
        <f ca="1">IF(OR($D70="",J70=""),"",VLOOKUP($J70,'Start List'!$D$15:$Y$120,'Match Play Standings'!O$8,FALSE))</f>
        <v/>
      </c>
      <c r="P70" s="234" t="str">
        <f t="shared" ca="1" si="4"/>
        <v/>
      </c>
      <c r="Q70" s="79" t="str">
        <f t="shared" ca="1" si="7"/>
        <v/>
      </c>
      <c r="R70" s="79" t="str">
        <f t="shared" ca="1" si="8"/>
        <v/>
      </c>
      <c r="S70" s="79" t="str">
        <f t="shared" ca="1" si="8"/>
        <v/>
      </c>
      <c r="T70" s="79" t="str">
        <f t="shared" ca="1" si="8"/>
        <v/>
      </c>
    </row>
    <row r="71" spans="1:20" ht="12.75" customHeight="1" x14ac:dyDescent="0.2">
      <c r="A71" s="59" t="str">
        <f>IF(OR(COUNT('Start List'!A:A)+IF(Data!$AP$6=3,1,IF(Data!$AP$6=2,2,COUNTIF('Start List'!$I$9:$I$14,"&lt;21")))='Match Play Standings'!A70,A70=""),"",'Match Play Standings'!A70+1)</f>
        <v/>
      </c>
      <c r="B71" s="74" t="str">
        <f>IF(A71="","",IF(Data!$AP$6=1,VLOOKUP(SMALL('Start List'!$I$9:$I$139,A71),'Start List'!$I$9:$J$14,2,FALSE),IF(Data!$AP$6=2,'Men-Women'!B71,Data!$AK$2)))</f>
        <v/>
      </c>
      <c r="C71" s="75" t="str">
        <f>IF(OR(B71="",COUNTIF($B$9:B71,B71)=1),"",COUNTIF($B$9:B71,B71)-1)</f>
        <v/>
      </c>
      <c r="D71" s="76" t="str">
        <f ca="1">IF(""=C71,"",LARGE(INDIRECT(VLOOKUP(B71,'Start List'!$J$9:$P$14,Data!$AP$6+4,FALSE)),C71))</f>
        <v/>
      </c>
      <c r="E71" s="77" t="e">
        <f t="shared" si="1"/>
        <v>#N/A</v>
      </c>
      <c r="F71" s="80" t="e">
        <f>"'"&amp;VLOOKUP(B71,Translation!$A$2:$E$72,2,FALSE)&amp;"'!"</f>
        <v>#N/A</v>
      </c>
      <c r="G71" s="80" t="e">
        <f>INDEX(Data!$AJ$49:$AJ$64,MATCH(C71,Data!$AI$49:$AI$64))</f>
        <v>#N/A</v>
      </c>
      <c r="H71" s="80" t="e">
        <f t="shared" si="2"/>
        <v>#N/A</v>
      </c>
      <c r="I71" s="80" t="e">
        <f t="shared" ca="1" si="3"/>
        <v>#N/A</v>
      </c>
      <c r="J71" s="77" t="str">
        <f ca="1">IF(OR(C71&lt;17,C71=""),IF(B71&lt;&gt;B70,B71,IF($D71="","",INDIRECT(H71))),VLOOKUP(D71,'Start List'!$B$15:$D$120,J$8,FALSE))</f>
        <v/>
      </c>
      <c r="K71" s="77" t="str">
        <f ca="1">IF(OR($D71="",J71=""),"",VLOOKUP($J71,'Start List'!$D$15:$Y$120,'Match Play Standings'!K$8,FALSE))</f>
        <v/>
      </c>
      <c r="L71" s="79" t="str">
        <f ca="1">IF(OR($D71="",J71=""),"",VLOOKUP($J71,'Start List'!$D$15:$Y$120,'Match Play Standings'!L$8,FALSE))</f>
        <v/>
      </c>
      <c r="M71" s="207" t="str">
        <f ca="1">IF(OR($D71="",J71=""),"",VLOOKUP($J71,'Start List'!$D$15:$Y$120,'Match Play Standings'!M$8,FALSE))</f>
        <v/>
      </c>
      <c r="N71" s="210" t="str">
        <f ca="1">IF(OR($D71="",J71=""),"",VLOOKUP($J71,'Start List'!$D$15:$Y$120,'Match Play Standings'!N$8,FALSE))</f>
        <v/>
      </c>
      <c r="O71" s="210" t="str">
        <f ca="1">IF(OR($D71="",J71=""),"",VLOOKUP($J71,'Start List'!$D$15:$Y$120,'Match Play Standings'!O$8,FALSE))</f>
        <v/>
      </c>
      <c r="P71" s="234" t="str">
        <f t="shared" ca="1" si="4"/>
        <v/>
      </c>
      <c r="Q71" s="79" t="str">
        <f t="shared" ca="1" si="7"/>
        <v/>
      </c>
      <c r="R71" s="79" t="str">
        <f t="shared" ca="1" si="8"/>
        <v/>
      </c>
      <c r="S71" s="79" t="str">
        <f t="shared" ca="1" si="8"/>
        <v/>
      </c>
      <c r="T71" s="79" t="str">
        <f t="shared" ca="1" si="8"/>
        <v/>
      </c>
    </row>
    <row r="72" spans="1:20" ht="12.75" customHeight="1" x14ac:dyDescent="0.2">
      <c r="A72" s="59" t="str">
        <f>IF(OR(COUNT('Start List'!A:A)+IF(Data!$AP$6=3,1,IF(Data!$AP$6=2,2,COUNTIF('Start List'!$I$9:$I$14,"&lt;21")))='Match Play Standings'!A71,A71=""),"",'Match Play Standings'!A71+1)</f>
        <v/>
      </c>
      <c r="B72" s="74" t="str">
        <f>IF(A72="","",IF(Data!$AP$6=1,VLOOKUP(SMALL('Start List'!$I$9:$I$139,A72),'Start List'!$I$9:$J$14,2,FALSE),IF(Data!$AP$6=2,'Men-Women'!B72,Data!$AK$2)))</f>
        <v/>
      </c>
      <c r="C72" s="75" t="str">
        <f>IF(OR(B72="",COUNTIF($B$9:B72,B72)=1),"",COUNTIF($B$9:B72,B72)-1)</f>
        <v/>
      </c>
      <c r="D72" s="76" t="str">
        <f ca="1">IF(""=C72,"",LARGE(INDIRECT(VLOOKUP(B72,'Start List'!$J$9:$P$14,Data!$AP$6+4,FALSE)),C72))</f>
        <v/>
      </c>
      <c r="E72" s="77" t="e">
        <f t="shared" si="1"/>
        <v>#N/A</v>
      </c>
      <c r="F72" s="80" t="e">
        <f>"'"&amp;VLOOKUP(B72,Translation!$A$2:$E$72,2,FALSE)&amp;"'!"</f>
        <v>#N/A</v>
      </c>
      <c r="G72" s="80" t="e">
        <f>INDEX(Data!$AJ$49:$AJ$64,MATCH(C72,Data!$AI$49:$AI$64))</f>
        <v>#N/A</v>
      </c>
      <c r="H72" s="80" t="e">
        <f t="shared" si="2"/>
        <v>#N/A</v>
      </c>
      <c r="I72" s="80" t="e">
        <f t="shared" ca="1" si="3"/>
        <v>#N/A</v>
      </c>
      <c r="J72" s="77" t="str">
        <f ca="1">IF(OR(C72&lt;17,C72=""),IF(B72&lt;&gt;B71,B72,IF($D72="","",INDIRECT(H72))),VLOOKUP(D72,'Start List'!$B$15:$D$120,J$8,FALSE))</f>
        <v/>
      </c>
      <c r="K72" s="77" t="str">
        <f ca="1">IF(OR($D72="",J72=""),"",VLOOKUP($J72,'Start List'!$D$15:$Y$120,'Match Play Standings'!K$8,FALSE))</f>
        <v/>
      </c>
      <c r="L72" s="79" t="str">
        <f ca="1">IF(OR($D72="",J72=""),"",VLOOKUP($J72,'Start List'!$D$15:$Y$120,'Match Play Standings'!L$8,FALSE))</f>
        <v/>
      </c>
      <c r="M72" s="207" t="str">
        <f ca="1">IF(OR($D72="",J72=""),"",VLOOKUP($J72,'Start List'!$D$15:$Y$120,'Match Play Standings'!M$8,FALSE))</f>
        <v/>
      </c>
      <c r="N72" s="210" t="str">
        <f ca="1">IF(OR($D72="",J72=""),"",VLOOKUP($J72,'Start List'!$D$15:$Y$120,'Match Play Standings'!N$8,FALSE))</f>
        <v/>
      </c>
      <c r="O72" s="210" t="str">
        <f ca="1">IF(OR($D72="",J72=""),"",VLOOKUP($J72,'Start List'!$D$15:$Y$120,'Match Play Standings'!O$8,FALSE))</f>
        <v/>
      </c>
      <c r="P72" s="234" t="str">
        <f t="shared" ca="1" si="4"/>
        <v/>
      </c>
      <c r="Q72" s="79" t="str">
        <f t="shared" ca="1" si="7"/>
        <v/>
      </c>
      <c r="R72" s="79" t="str">
        <f t="shared" ca="1" si="8"/>
        <v/>
      </c>
      <c r="S72" s="79" t="str">
        <f t="shared" ca="1" si="8"/>
        <v/>
      </c>
      <c r="T72" s="79" t="str">
        <f t="shared" ca="1" si="8"/>
        <v/>
      </c>
    </row>
    <row r="73" spans="1:20" ht="12.75" customHeight="1" x14ac:dyDescent="0.2">
      <c r="A73" s="59" t="str">
        <f>IF(OR(COUNT('Start List'!A:A)+IF(Data!$AP$6=3,1,IF(Data!$AP$6=2,2,COUNTIF('Start List'!$I$9:$I$14,"&lt;21")))='Match Play Standings'!A72,A72=""),"",'Match Play Standings'!A72+1)</f>
        <v/>
      </c>
      <c r="B73" s="74" t="str">
        <f>IF(A73="","",IF(Data!$AP$6=1,VLOOKUP(SMALL('Start List'!$I$9:$I$139,A73),'Start List'!$I$9:$J$14,2,FALSE),IF(Data!$AP$6=2,'Men-Women'!B73,Data!$AK$2)))</f>
        <v/>
      </c>
      <c r="C73" s="75" t="str">
        <f>IF(OR(B73="",COUNTIF($B$9:B73,B73)=1),"",COUNTIF($B$9:B73,B73)-1)</f>
        <v/>
      </c>
      <c r="D73" s="76" t="str">
        <f ca="1">IF(""=C73,"",LARGE(INDIRECT(VLOOKUP(B73,'Start List'!$J$9:$P$14,Data!$AP$6+4,FALSE)),C73))</f>
        <v/>
      </c>
      <c r="E73" s="77" t="e">
        <f t="shared" si="1"/>
        <v>#N/A</v>
      </c>
      <c r="F73" s="80" t="e">
        <f>"'"&amp;VLOOKUP(B73,Translation!$A$2:$E$72,2,FALSE)&amp;"'!"</f>
        <v>#N/A</v>
      </c>
      <c r="G73" s="80" t="e">
        <f>INDEX(Data!$AJ$49:$AJ$64,MATCH(C73,Data!$AI$49:$AI$64))</f>
        <v>#N/A</v>
      </c>
      <c r="H73" s="80" t="e">
        <f t="shared" si="2"/>
        <v>#N/A</v>
      </c>
      <c r="I73" s="80" t="e">
        <f t="shared" ca="1" si="3"/>
        <v>#N/A</v>
      </c>
      <c r="J73" s="77" t="str">
        <f ca="1">IF(OR(C73&lt;17,C73=""),IF(B73&lt;&gt;B72,B73,IF($D73="","",INDIRECT(H73))),VLOOKUP(D73,'Start List'!$B$15:$D$120,J$8,FALSE))</f>
        <v/>
      </c>
      <c r="K73" s="77" t="str">
        <f ca="1">IF(OR($D73="",J73=""),"",VLOOKUP($J73,'Start List'!$D$15:$Y$120,'Match Play Standings'!K$8,FALSE))</f>
        <v/>
      </c>
      <c r="L73" s="79" t="str">
        <f ca="1">IF(OR($D73="",J73=""),"",VLOOKUP($J73,'Start List'!$D$15:$Y$120,'Match Play Standings'!L$8,FALSE))</f>
        <v/>
      </c>
      <c r="M73" s="207" t="str">
        <f ca="1">IF(OR($D73="",J73=""),"",VLOOKUP($J73,'Start List'!$D$15:$Y$120,'Match Play Standings'!M$8,FALSE))</f>
        <v/>
      </c>
      <c r="N73" s="210" t="str">
        <f ca="1">IF(OR($D73="",J73=""),"",VLOOKUP($J73,'Start List'!$D$15:$Y$120,'Match Play Standings'!N$8,FALSE))</f>
        <v/>
      </c>
      <c r="O73" s="210" t="str">
        <f ca="1">IF(OR($D73="",J73=""),"",VLOOKUP($J73,'Start List'!$D$15:$Y$120,'Match Play Standings'!O$8,FALSE))</f>
        <v/>
      </c>
      <c r="P73" s="234" t="str">
        <f t="shared" ca="1" si="4"/>
        <v/>
      </c>
      <c r="Q73" s="79" t="str">
        <f t="shared" ca="1" si="7"/>
        <v/>
      </c>
      <c r="R73" s="79" t="str">
        <f t="shared" ca="1" si="8"/>
        <v/>
      </c>
      <c r="S73" s="79" t="str">
        <f t="shared" ca="1" si="8"/>
        <v/>
      </c>
      <c r="T73" s="79" t="str">
        <f t="shared" ca="1" si="8"/>
        <v/>
      </c>
    </row>
    <row r="74" spans="1:20" ht="12.75" customHeight="1" x14ac:dyDescent="0.2">
      <c r="A74" s="59" t="str">
        <f>IF(OR(COUNT('Start List'!A:A)+IF(Data!$AP$6=3,1,IF(Data!$AP$6=2,2,COUNTIF('Start List'!$I$9:$I$14,"&lt;21")))='Match Play Standings'!A73,A73=""),"",'Match Play Standings'!A73+1)</f>
        <v/>
      </c>
      <c r="B74" s="74" t="str">
        <f>IF(A74="","",IF(Data!$AP$6=1,VLOOKUP(SMALL('Start List'!$I$9:$I$139,A74),'Start List'!$I$9:$J$14,2,FALSE),IF(Data!$AP$6=2,'Men-Women'!B74,Data!$AK$2)))</f>
        <v/>
      </c>
      <c r="C74" s="75" t="str">
        <f>IF(OR(B74="",COUNTIF($B$9:B74,B74)=1),"",COUNTIF($B$9:B74,B74)-1)</f>
        <v/>
      </c>
      <c r="D74" s="76" t="str">
        <f ca="1">IF(""=C74,"",LARGE(INDIRECT(VLOOKUP(B74,'Start List'!$J$9:$P$14,Data!$AP$6+4,FALSE)),C74))</f>
        <v/>
      </c>
      <c r="E74" s="77" t="e">
        <f t="shared" si="1"/>
        <v>#N/A</v>
      </c>
      <c r="F74" s="80" t="e">
        <f>"'"&amp;VLOOKUP(B74,Translation!$A$2:$E$72,2,FALSE)&amp;"'!"</f>
        <v>#N/A</v>
      </c>
      <c r="G74" s="80" t="e">
        <f>INDEX(Data!$AJ$49:$AJ$64,MATCH(C74,Data!$AI$49:$AI$64))</f>
        <v>#N/A</v>
      </c>
      <c r="H74" s="80" t="e">
        <f t="shared" si="2"/>
        <v>#N/A</v>
      </c>
      <c r="I74" s="80" t="e">
        <f t="shared" ca="1" si="3"/>
        <v>#N/A</v>
      </c>
      <c r="J74" s="77" t="str">
        <f ca="1">IF(OR(C74&lt;17,C74=""),IF(B74&lt;&gt;B73,B74,IF($D74="","",INDIRECT(H74))),VLOOKUP(D74,'Start List'!$B$15:$D$120,J$8,FALSE))</f>
        <v/>
      </c>
      <c r="K74" s="77" t="str">
        <f ca="1">IF(OR($D74="",J74=""),"",VLOOKUP($J74,'Start List'!$D$15:$Y$120,'Match Play Standings'!K$8,FALSE))</f>
        <v/>
      </c>
      <c r="L74" s="79" t="str">
        <f ca="1">IF(OR($D74="",J74=""),"",VLOOKUP($J74,'Start List'!$D$15:$Y$120,'Match Play Standings'!L$8,FALSE))</f>
        <v/>
      </c>
      <c r="M74" s="207" t="str">
        <f ca="1">IF(OR($D74="",J74=""),"",VLOOKUP($J74,'Start List'!$D$15:$Y$120,'Match Play Standings'!M$8,FALSE))</f>
        <v/>
      </c>
      <c r="N74" s="210" t="str">
        <f ca="1">IF(OR($D74="",J74=""),"",VLOOKUP($J74,'Start List'!$D$15:$Y$120,'Match Play Standings'!N$8,FALSE))</f>
        <v/>
      </c>
      <c r="O74" s="210" t="str">
        <f ca="1">IF(OR($D74="",J74=""),"",VLOOKUP($J74,'Start List'!$D$15:$Y$120,'Match Play Standings'!O$8,FALSE))</f>
        <v/>
      </c>
      <c r="P74" s="234" t="str">
        <f t="shared" ca="1" si="4"/>
        <v/>
      </c>
      <c r="Q74" s="79" t="str">
        <f t="shared" ca="1" si="7"/>
        <v/>
      </c>
      <c r="R74" s="79" t="str">
        <f t="shared" ca="1" si="8"/>
        <v/>
      </c>
      <c r="S74" s="79" t="str">
        <f t="shared" ca="1" si="8"/>
        <v/>
      </c>
      <c r="T74" s="79" t="str">
        <f t="shared" ca="1" si="8"/>
        <v/>
      </c>
    </row>
    <row r="75" spans="1:20" ht="12.75" customHeight="1" x14ac:dyDescent="0.2">
      <c r="A75" s="59" t="str">
        <f>IF(OR(COUNT('Start List'!A:A)+IF(Data!$AP$6=3,1,IF(Data!$AP$6=2,2,COUNTIF('Start List'!$I$9:$I$14,"&lt;21")))='Match Play Standings'!A74,A74=""),"",'Match Play Standings'!A74+1)</f>
        <v/>
      </c>
      <c r="B75" s="74" t="str">
        <f>IF(A75="","",IF(Data!$AP$6=1,VLOOKUP(SMALL('Start List'!$I$9:$I$139,A75),'Start List'!$I$9:$J$14,2,FALSE),IF(Data!$AP$6=2,'Men-Women'!B75,Data!$AK$2)))</f>
        <v/>
      </c>
      <c r="C75" s="75" t="str">
        <f>IF(OR(B75="",COUNTIF($B$9:B75,B75)=1),"",COUNTIF($B$9:B75,B75)-1)</f>
        <v/>
      </c>
      <c r="D75" s="76" t="str">
        <f ca="1">IF(""=C75,"",LARGE(INDIRECT(VLOOKUP(B75,'Start List'!$J$9:$P$14,Data!$AP$6+4,FALSE)),C75))</f>
        <v/>
      </c>
      <c r="E75" s="77" t="e">
        <f t="shared" ref="E75:E138" si="9">F75&amp;"$BN$73:$BT$88"</f>
        <v>#N/A</v>
      </c>
      <c r="F75" s="80" t="e">
        <f>"'"&amp;VLOOKUP(B75,Translation!$A$2:$E$72,2,FALSE)&amp;"'!"</f>
        <v>#N/A</v>
      </c>
      <c r="G75" s="80" t="e">
        <f>INDEX(Data!$AJ$49:$AJ$64,MATCH(C75,Data!$AI$49:$AI$64))</f>
        <v>#N/A</v>
      </c>
      <c r="H75" s="80" t="e">
        <f t="shared" ref="H75:H138" si="10">F75&amp;G75</f>
        <v>#N/A</v>
      </c>
      <c r="I75" s="80" t="e">
        <f t="shared" ref="I75:I138" ca="1" si="11">VLOOKUP(J75,INDIRECT(E75),2,FALSE)</f>
        <v>#N/A</v>
      </c>
      <c r="J75" s="77" t="str">
        <f ca="1">IF(OR(C75&lt;17,C75=""),IF(B75&lt;&gt;B74,B75,IF($D75="","",INDIRECT(H75))),VLOOKUP(D75,'Start List'!$B$15:$D$120,J$8,FALSE))</f>
        <v/>
      </c>
      <c r="K75" s="77" t="str">
        <f ca="1">IF(OR($D75="",J75=""),"",VLOOKUP($J75,'Start List'!$D$15:$Y$120,'Match Play Standings'!K$8,FALSE))</f>
        <v/>
      </c>
      <c r="L75" s="79" t="str">
        <f ca="1">IF(OR($D75="",J75=""),"",VLOOKUP($J75,'Start List'!$D$15:$Y$120,'Match Play Standings'!L$8,FALSE))</f>
        <v/>
      </c>
      <c r="M75" s="207" t="str">
        <f ca="1">IF(OR($D75="",J75=""),"",VLOOKUP($J75,'Start List'!$D$15:$Y$120,'Match Play Standings'!M$8,FALSE))</f>
        <v/>
      </c>
      <c r="N75" s="210" t="str">
        <f ca="1">IF(OR($D75="",J75=""),"",VLOOKUP($J75,'Start List'!$D$15:$Y$120,'Match Play Standings'!N$8,FALSE))</f>
        <v/>
      </c>
      <c r="O75" s="210" t="str">
        <f ca="1">IF(OR($D75="",J75=""),"",VLOOKUP($J75,'Start List'!$D$15:$Y$120,'Match Play Standings'!O$8,FALSE))</f>
        <v/>
      </c>
      <c r="P75" s="234" t="str">
        <f t="shared" ref="P75:P138" ca="1" si="12">IFERROR(I75-C75,"")</f>
        <v/>
      </c>
      <c r="Q75" s="79" t="str">
        <f t="shared" ref="Q75:Q106" ca="1" si="13">IF(OR($C75="",$J75=""),"",IF($C75&gt;16,"DNQ",IF(VLOOKUP($J75,INDIRECT($E75),Q$8,FALSE)="0:0","Bye",VLOOKUP($J75,INDIRECT($E75),Q$8,FALSE))))</f>
        <v/>
      </c>
      <c r="R75" s="79" t="str">
        <f t="shared" ref="R75:T106" ca="1" si="14">IF(OR($C75="",$J75=""),"",IF($C75&gt;16,"",IF(VLOOKUP($J75,INDIRECT($E75),R$8,FALSE)="0:0","Bye",VLOOKUP($J75,INDIRECT($E75),R$8,FALSE))))</f>
        <v/>
      </c>
      <c r="S75" s="79" t="str">
        <f t="shared" ca="1" si="14"/>
        <v/>
      </c>
      <c r="T75" s="79" t="str">
        <f t="shared" ca="1" si="14"/>
        <v/>
      </c>
    </row>
    <row r="76" spans="1:20" ht="12.75" x14ac:dyDescent="0.2">
      <c r="A76" s="59" t="str">
        <f>IF(OR(COUNT('Start List'!A:A)+IF(Data!$AP$6=3,1,IF(Data!$AP$6=2,2,COUNTIF('Start List'!$I$9:$I$14,"&lt;21")))='Match Play Standings'!A75,A75=""),"",'Match Play Standings'!A75+1)</f>
        <v/>
      </c>
      <c r="B76" s="74" t="str">
        <f>IF(A76="","",IF(Data!$AP$6=1,VLOOKUP(SMALL('Start List'!$I$9:$I$139,A76),'Start List'!$I$9:$J$14,2,FALSE),IF(Data!$AP$6=2,'Men-Women'!B76,Data!$AK$2)))</f>
        <v/>
      </c>
      <c r="C76" s="75" t="str">
        <f>IF(OR(B76="",COUNTIF($B$9:B76,B76)=1),"",COUNTIF($B$9:B76,B76)-1)</f>
        <v/>
      </c>
      <c r="D76" s="76" t="str">
        <f ca="1">IF(""=C76,"",LARGE(INDIRECT(VLOOKUP(B76,'Start List'!$J$9:$P$14,Data!$AP$6+4,FALSE)),C76))</f>
        <v/>
      </c>
      <c r="E76" s="77" t="e">
        <f t="shared" si="9"/>
        <v>#N/A</v>
      </c>
      <c r="F76" s="80" t="e">
        <f>"'"&amp;VLOOKUP(B76,Translation!$A$2:$E$72,2,FALSE)&amp;"'!"</f>
        <v>#N/A</v>
      </c>
      <c r="G76" s="80" t="e">
        <f>INDEX(Data!$AJ$49:$AJ$64,MATCH(C76,Data!$AI$49:$AI$64))</f>
        <v>#N/A</v>
      </c>
      <c r="H76" s="80" t="e">
        <f t="shared" si="10"/>
        <v>#N/A</v>
      </c>
      <c r="I76" s="80" t="e">
        <f t="shared" ca="1" si="11"/>
        <v>#N/A</v>
      </c>
      <c r="J76" s="77" t="str">
        <f ca="1">IF(OR(C76&lt;17,C76=""),IF(B76&lt;&gt;B75,B76,IF($D76="","",INDIRECT(H76))),VLOOKUP(D76,'Start List'!$B$15:$D$120,J$8,FALSE))</f>
        <v/>
      </c>
      <c r="K76" s="77" t="str">
        <f ca="1">IF(OR($D76="",J76=""),"",VLOOKUP($J76,'Start List'!$D$15:$Y$120,'Match Play Standings'!K$8,FALSE))</f>
        <v/>
      </c>
      <c r="L76" s="79" t="str">
        <f ca="1">IF(OR($D76="",J76=""),"",VLOOKUP($J76,'Start List'!$D$15:$Y$120,'Match Play Standings'!L$8,FALSE))</f>
        <v/>
      </c>
      <c r="M76" s="207" t="str">
        <f ca="1">IF(OR($D76="",J76=""),"",VLOOKUP($J76,'Start List'!$D$15:$Y$120,'Match Play Standings'!M$8,FALSE))</f>
        <v/>
      </c>
      <c r="N76" s="210" t="str">
        <f ca="1">IF(OR($D76="",J76=""),"",VLOOKUP($J76,'Start List'!$D$15:$Y$120,'Match Play Standings'!N$8,FALSE))</f>
        <v/>
      </c>
      <c r="O76" s="210" t="str">
        <f ca="1">IF(OR($D76="",J76=""),"",VLOOKUP($J76,'Start List'!$D$15:$Y$120,'Match Play Standings'!O$8,FALSE))</f>
        <v/>
      </c>
      <c r="P76" s="234" t="str">
        <f t="shared" ca="1" si="12"/>
        <v/>
      </c>
      <c r="Q76" s="79" t="str">
        <f t="shared" ca="1" si="13"/>
        <v/>
      </c>
      <c r="R76" s="79" t="str">
        <f t="shared" ca="1" si="14"/>
        <v/>
      </c>
      <c r="S76" s="79" t="str">
        <f t="shared" ca="1" si="14"/>
        <v/>
      </c>
      <c r="T76" s="79" t="str">
        <f t="shared" ca="1" si="14"/>
        <v/>
      </c>
    </row>
    <row r="77" spans="1:20" ht="12.75" x14ac:dyDescent="0.2">
      <c r="A77" s="59" t="str">
        <f>IF(OR(COUNT('Start List'!A:A)+IF(Data!$AP$6=3,1,IF(Data!$AP$6=2,2,COUNTIF('Start List'!$I$9:$I$14,"&lt;21")))='Match Play Standings'!A76,A76=""),"",'Match Play Standings'!A76+1)</f>
        <v/>
      </c>
      <c r="B77" s="74" t="str">
        <f>IF(A77="","",IF(Data!$AP$6=1,VLOOKUP(SMALL('Start List'!$I$9:$I$139,A77),'Start List'!$I$9:$J$14,2,FALSE),IF(Data!$AP$6=2,'Men-Women'!B77,Data!$AK$2)))</f>
        <v/>
      </c>
      <c r="C77" s="75" t="str">
        <f>IF(OR(B77="",COUNTIF($B$9:B77,B77)=1),"",COUNTIF($B$9:B77,B77)-1)</f>
        <v/>
      </c>
      <c r="D77" s="76" t="str">
        <f ca="1">IF(""=C77,"",LARGE(INDIRECT(VLOOKUP(B77,'Start List'!$J$9:$P$14,Data!$AP$6+4,FALSE)),C77))</f>
        <v/>
      </c>
      <c r="E77" s="77" t="e">
        <f t="shared" si="9"/>
        <v>#N/A</v>
      </c>
      <c r="F77" s="80" t="e">
        <f>"'"&amp;VLOOKUP(B77,Translation!$A$2:$E$72,2,FALSE)&amp;"'!"</f>
        <v>#N/A</v>
      </c>
      <c r="G77" s="80" t="e">
        <f>INDEX(Data!$AJ$49:$AJ$64,MATCH(C77,Data!$AI$49:$AI$64))</f>
        <v>#N/A</v>
      </c>
      <c r="H77" s="80" t="e">
        <f t="shared" si="10"/>
        <v>#N/A</v>
      </c>
      <c r="I77" s="80" t="e">
        <f t="shared" ca="1" si="11"/>
        <v>#N/A</v>
      </c>
      <c r="J77" s="77" t="str">
        <f ca="1">IF(OR(C77&lt;17,C77=""),IF(B77&lt;&gt;B76,B77,IF($D77="","",INDIRECT(H77))),VLOOKUP(D77,'Start List'!$B$15:$D$120,J$8,FALSE))</f>
        <v/>
      </c>
      <c r="K77" s="77" t="str">
        <f ca="1">IF(OR($D77="",J77=""),"",VLOOKUP($J77,'Start List'!$D$15:$Y$120,'Match Play Standings'!K$8,FALSE))</f>
        <v/>
      </c>
      <c r="L77" s="79" t="str">
        <f ca="1">IF(OR($D77="",J77=""),"",VLOOKUP($J77,'Start List'!$D$15:$Y$120,'Match Play Standings'!L$8,FALSE))</f>
        <v/>
      </c>
      <c r="M77" s="207" t="str">
        <f ca="1">IF(OR($D77="",J77=""),"",VLOOKUP($J77,'Start List'!$D$15:$Y$120,'Match Play Standings'!M$8,FALSE))</f>
        <v/>
      </c>
      <c r="N77" s="210" t="str">
        <f ca="1">IF(OR($D77="",J77=""),"",VLOOKUP($J77,'Start List'!$D$15:$Y$120,'Match Play Standings'!N$8,FALSE))</f>
        <v/>
      </c>
      <c r="O77" s="210" t="str">
        <f ca="1">IF(OR($D77="",J77=""),"",VLOOKUP($J77,'Start List'!$D$15:$Y$120,'Match Play Standings'!O$8,FALSE))</f>
        <v/>
      </c>
      <c r="P77" s="234" t="str">
        <f t="shared" ca="1" si="12"/>
        <v/>
      </c>
      <c r="Q77" s="79" t="str">
        <f t="shared" ca="1" si="13"/>
        <v/>
      </c>
      <c r="R77" s="79" t="str">
        <f t="shared" ca="1" si="14"/>
        <v/>
      </c>
      <c r="S77" s="79" t="str">
        <f t="shared" ca="1" si="14"/>
        <v/>
      </c>
      <c r="T77" s="79" t="str">
        <f t="shared" ca="1" si="14"/>
        <v/>
      </c>
    </row>
    <row r="78" spans="1:20" ht="12.75" x14ac:dyDescent="0.2">
      <c r="A78" s="59" t="str">
        <f>IF(OR(COUNT('Start List'!A:A)+IF(Data!$AP$6=3,1,IF(Data!$AP$6=2,2,COUNTIF('Start List'!$I$9:$I$14,"&lt;21")))='Match Play Standings'!A77,A77=""),"",'Match Play Standings'!A77+1)</f>
        <v/>
      </c>
      <c r="B78" s="74" t="str">
        <f>IF(A78="","",IF(Data!$AP$6=1,VLOOKUP(SMALL('Start List'!$I$9:$I$139,A78),'Start List'!$I$9:$J$14,2,FALSE),IF(Data!$AP$6=2,'Men-Women'!B78,Data!$AK$2)))</f>
        <v/>
      </c>
      <c r="C78" s="75" t="str">
        <f>IF(OR(B78="",COUNTIF($B$9:B78,B78)=1),"",COUNTIF($B$9:B78,B78)-1)</f>
        <v/>
      </c>
      <c r="D78" s="76" t="str">
        <f ca="1">IF(""=C78,"",LARGE(INDIRECT(VLOOKUP(B78,'Start List'!$J$9:$P$14,Data!$AP$6+4,FALSE)),C78))</f>
        <v/>
      </c>
      <c r="E78" s="77" t="e">
        <f t="shared" si="9"/>
        <v>#N/A</v>
      </c>
      <c r="F78" s="80" t="e">
        <f>"'"&amp;VLOOKUP(B78,Translation!$A$2:$E$72,2,FALSE)&amp;"'!"</f>
        <v>#N/A</v>
      </c>
      <c r="G78" s="80" t="e">
        <f>INDEX(Data!$AJ$49:$AJ$64,MATCH(C78,Data!$AI$49:$AI$64))</f>
        <v>#N/A</v>
      </c>
      <c r="H78" s="80" t="e">
        <f t="shared" si="10"/>
        <v>#N/A</v>
      </c>
      <c r="I78" s="80" t="e">
        <f t="shared" ca="1" si="11"/>
        <v>#N/A</v>
      </c>
      <c r="J78" s="77" t="str">
        <f ca="1">IF(OR(C78&lt;17,C78=""),IF(B78&lt;&gt;B77,B78,IF($D78="","",INDIRECT(H78))),VLOOKUP(D78,'Start List'!$B$15:$D$120,J$8,FALSE))</f>
        <v/>
      </c>
      <c r="K78" s="77" t="str">
        <f ca="1">IF(OR($D78="",J78=""),"",VLOOKUP($J78,'Start List'!$D$15:$Y$120,'Match Play Standings'!K$8,FALSE))</f>
        <v/>
      </c>
      <c r="L78" s="79" t="str">
        <f ca="1">IF(OR($D78="",J78=""),"",VLOOKUP($J78,'Start List'!$D$15:$Y$120,'Match Play Standings'!L$8,FALSE))</f>
        <v/>
      </c>
      <c r="M78" s="207" t="str">
        <f ca="1">IF(OR($D78="",J78=""),"",VLOOKUP($J78,'Start List'!$D$15:$Y$120,'Match Play Standings'!M$8,FALSE))</f>
        <v/>
      </c>
      <c r="N78" s="210" t="str">
        <f ca="1">IF(OR($D78="",J78=""),"",VLOOKUP($J78,'Start List'!$D$15:$Y$120,'Match Play Standings'!N$8,FALSE))</f>
        <v/>
      </c>
      <c r="O78" s="210" t="str">
        <f ca="1">IF(OR($D78="",J78=""),"",VLOOKUP($J78,'Start List'!$D$15:$Y$120,'Match Play Standings'!O$8,FALSE))</f>
        <v/>
      </c>
      <c r="P78" s="234" t="str">
        <f t="shared" ca="1" si="12"/>
        <v/>
      </c>
      <c r="Q78" s="79" t="str">
        <f t="shared" ca="1" si="13"/>
        <v/>
      </c>
      <c r="R78" s="79" t="str">
        <f t="shared" ca="1" si="14"/>
        <v/>
      </c>
      <c r="S78" s="79" t="str">
        <f t="shared" ca="1" si="14"/>
        <v/>
      </c>
      <c r="T78" s="79" t="str">
        <f t="shared" ca="1" si="14"/>
        <v/>
      </c>
    </row>
    <row r="79" spans="1:20" ht="12.75" x14ac:dyDescent="0.2">
      <c r="A79" s="59" t="str">
        <f>IF(OR(COUNT('Start List'!A:A)+IF(Data!$AP$6=3,1,IF(Data!$AP$6=2,2,COUNTIF('Start List'!$I$9:$I$14,"&lt;21")))='Match Play Standings'!A78,A78=""),"",'Match Play Standings'!A78+1)</f>
        <v/>
      </c>
      <c r="B79" s="74" t="str">
        <f>IF(A79="","",IF(Data!$AP$6=1,VLOOKUP(SMALL('Start List'!$I$9:$I$139,A79),'Start List'!$I$9:$J$14,2,FALSE),IF(Data!$AP$6=2,'Men-Women'!B79,Data!$AK$2)))</f>
        <v/>
      </c>
      <c r="C79" s="75" t="str">
        <f>IF(OR(B79="",COUNTIF($B$9:B79,B79)=1),"",COUNTIF($B$9:B79,B79)-1)</f>
        <v/>
      </c>
      <c r="D79" s="76" t="str">
        <f ca="1">IF(""=C79,"",LARGE(INDIRECT(VLOOKUP(B79,'Start List'!$J$9:$P$14,Data!$AP$6+4,FALSE)),C79))</f>
        <v/>
      </c>
      <c r="E79" s="77" t="e">
        <f t="shared" si="9"/>
        <v>#N/A</v>
      </c>
      <c r="F79" s="80" t="e">
        <f>"'"&amp;VLOOKUP(B79,Translation!$A$2:$E$72,2,FALSE)&amp;"'!"</f>
        <v>#N/A</v>
      </c>
      <c r="G79" s="80" t="e">
        <f>INDEX(Data!$AJ$49:$AJ$64,MATCH(C79,Data!$AI$49:$AI$64))</f>
        <v>#N/A</v>
      </c>
      <c r="H79" s="80" t="e">
        <f t="shared" si="10"/>
        <v>#N/A</v>
      </c>
      <c r="I79" s="80" t="e">
        <f t="shared" ca="1" si="11"/>
        <v>#N/A</v>
      </c>
      <c r="J79" s="77" t="str">
        <f ca="1">IF(OR(C79&lt;17,C79=""),IF(B79&lt;&gt;B78,B79,IF($D79="","",INDIRECT(H79))),VLOOKUP(D79,'Start List'!$B$15:$D$120,J$8,FALSE))</f>
        <v/>
      </c>
      <c r="K79" s="77" t="str">
        <f ca="1">IF(OR($D79="",J79=""),"",VLOOKUP($J79,'Start List'!$D$15:$Y$120,'Match Play Standings'!K$8,FALSE))</f>
        <v/>
      </c>
      <c r="L79" s="79" t="str">
        <f ca="1">IF(OR($D79="",J79=""),"",VLOOKUP($J79,'Start List'!$D$15:$Y$120,'Match Play Standings'!L$8,FALSE))</f>
        <v/>
      </c>
      <c r="M79" s="207" t="str">
        <f ca="1">IF(OR($D79="",J79=""),"",VLOOKUP($J79,'Start List'!$D$15:$Y$120,'Match Play Standings'!M$8,FALSE))</f>
        <v/>
      </c>
      <c r="N79" s="210" t="str">
        <f ca="1">IF(OR($D79="",J79=""),"",VLOOKUP($J79,'Start List'!$D$15:$Y$120,'Match Play Standings'!N$8,FALSE))</f>
        <v/>
      </c>
      <c r="O79" s="210" t="str">
        <f ca="1">IF(OR($D79="",J79=""),"",VLOOKUP($J79,'Start List'!$D$15:$Y$120,'Match Play Standings'!O$8,FALSE))</f>
        <v/>
      </c>
      <c r="P79" s="234" t="str">
        <f t="shared" ca="1" si="12"/>
        <v/>
      </c>
      <c r="Q79" s="79" t="str">
        <f t="shared" ca="1" si="13"/>
        <v/>
      </c>
      <c r="R79" s="79" t="str">
        <f t="shared" ca="1" si="14"/>
        <v/>
      </c>
      <c r="S79" s="79" t="str">
        <f t="shared" ca="1" si="14"/>
        <v/>
      </c>
      <c r="T79" s="79" t="str">
        <f t="shared" ca="1" si="14"/>
        <v/>
      </c>
    </row>
    <row r="80" spans="1:20" ht="12.75" x14ac:dyDescent="0.2">
      <c r="A80" s="59" t="str">
        <f>IF(OR(COUNT('Start List'!A:A)+IF(Data!$AP$6=3,1,IF(Data!$AP$6=2,2,COUNTIF('Start List'!$I$9:$I$14,"&lt;21")))='Match Play Standings'!A79,A79=""),"",'Match Play Standings'!A79+1)</f>
        <v/>
      </c>
      <c r="B80" s="74" t="str">
        <f>IF(A80="","",IF(Data!$AP$6=1,VLOOKUP(SMALL('Start List'!$I$9:$I$139,A80),'Start List'!$I$9:$J$14,2,FALSE),IF(Data!$AP$6=2,'Men-Women'!B80,Data!$AK$2)))</f>
        <v/>
      </c>
      <c r="C80" s="75" t="str">
        <f>IF(OR(B80="",COUNTIF($B$9:B80,B80)=1),"",COUNTIF($B$9:B80,B80)-1)</f>
        <v/>
      </c>
      <c r="D80" s="76" t="str">
        <f ca="1">IF(""=C80,"",LARGE(INDIRECT(VLOOKUP(B80,'Start List'!$J$9:$P$14,Data!$AP$6+4,FALSE)),C80))</f>
        <v/>
      </c>
      <c r="E80" s="77" t="e">
        <f t="shared" si="9"/>
        <v>#N/A</v>
      </c>
      <c r="F80" s="80" t="e">
        <f>"'"&amp;VLOOKUP(B80,Translation!$A$2:$E$72,2,FALSE)&amp;"'!"</f>
        <v>#N/A</v>
      </c>
      <c r="G80" s="80" t="e">
        <f>INDEX(Data!$AJ$49:$AJ$64,MATCH(C80,Data!$AI$49:$AI$64))</f>
        <v>#N/A</v>
      </c>
      <c r="H80" s="80" t="e">
        <f t="shared" si="10"/>
        <v>#N/A</v>
      </c>
      <c r="I80" s="80" t="e">
        <f t="shared" ca="1" si="11"/>
        <v>#N/A</v>
      </c>
      <c r="J80" s="77" t="str">
        <f ca="1">IF(OR(C80&lt;17,C80=""),IF(B80&lt;&gt;B79,B80,IF($D80="","",INDIRECT(H80))),VLOOKUP(D80,'Start List'!$B$15:$D$120,J$8,FALSE))</f>
        <v/>
      </c>
      <c r="K80" s="77" t="str">
        <f ca="1">IF(OR($D80="",J80=""),"",VLOOKUP($J80,'Start List'!$D$15:$Y$120,'Match Play Standings'!K$8,FALSE))</f>
        <v/>
      </c>
      <c r="L80" s="79" t="str">
        <f ca="1">IF(OR($D80="",J80=""),"",VLOOKUP($J80,'Start List'!$D$15:$Y$120,'Match Play Standings'!L$8,FALSE))</f>
        <v/>
      </c>
      <c r="M80" s="207" t="str">
        <f ca="1">IF(OR($D80="",J80=""),"",VLOOKUP($J80,'Start List'!$D$15:$Y$120,'Match Play Standings'!M$8,FALSE))</f>
        <v/>
      </c>
      <c r="N80" s="210" t="str">
        <f ca="1">IF(OR($D80="",J80=""),"",VLOOKUP($J80,'Start List'!$D$15:$Y$120,'Match Play Standings'!N$8,FALSE))</f>
        <v/>
      </c>
      <c r="O80" s="210" t="str">
        <f ca="1">IF(OR($D80="",J80=""),"",VLOOKUP($J80,'Start List'!$D$15:$Y$120,'Match Play Standings'!O$8,FALSE))</f>
        <v/>
      </c>
      <c r="P80" s="234" t="str">
        <f t="shared" ca="1" si="12"/>
        <v/>
      </c>
      <c r="Q80" s="79" t="str">
        <f t="shared" ca="1" si="13"/>
        <v/>
      </c>
      <c r="R80" s="79" t="str">
        <f t="shared" ca="1" si="14"/>
        <v/>
      </c>
      <c r="S80" s="79" t="str">
        <f t="shared" ca="1" si="14"/>
        <v/>
      </c>
      <c r="T80" s="79" t="str">
        <f t="shared" ca="1" si="14"/>
        <v/>
      </c>
    </row>
    <row r="81" spans="1:20" ht="12.75" x14ac:dyDescent="0.2">
      <c r="A81" s="59" t="str">
        <f>IF(OR(COUNT('Start List'!A:A)+IF(Data!$AP$6=3,1,IF(Data!$AP$6=2,2,COUNTIF('Start List'!$I$9:$I$14,"&lt;21")))='Match Play Standings'!A80,A80=""),"",'Match Play Standings'!A80+1)</f>
        <v/>
      </c>
      <c r="B81" s="74" t="str">
        <f>IF(A81="","",IF(Data!$AP$6=1,VLOOKUP(SMALL('Start List'!$I$9:$I$139,A81),'Start List'!$I$9:$J$14,2,FALSE),IF(Data!$AP$6=2,'Men-Women'!B81,Data!$AK$2)))</f>
        <v/>
      </c>
      <c r="C81" s="75" t="str">
        <f>IF(OR(B81="",COUNTIF($B$9:B81,B81)=1),"",COUNTIF($B$9:B81,B81)-1)</f>
        <v/>
      </c>
      <c r="D81" s="76" t="str">
        <f ca="1">IF(""=C81,"",LARGE(INDIRECT(VLOOKUP(B81,'Start List'!$J$9:$P$14,Data!$AP$6+4,FALSE)),C81))</f>
        <v/>
      </c>
      <c r="E81" s="77" t="e">
        <f t="shared" si="9"/>
        <v>#N/A</v>
      </c>
      <c r="F81" s="80" t="e">
        <f>"'"&amp;VLOOKUP(B81,Translation!$A$2:$E$72,2,FALSE)&amp;"'!"</f>
        <v>#N/A</v>
      </c>
      <c r="G81" s="80" t="e">
        <f>INDEX(Data!$AJ$49:$AJ$64,MATCH(C81,Data!$AI$49:$AI$64))</f>
        <v>#N/A</v>
      </c>
      <c r="H81" s="80" t="e">
        <f t="shared" si="10"/>
        <v>#N/A</v>
      </c>
      <c r="I81" s="80" t="e">
        <f t="shared" ca="1" si="11"/>
        <v>#N/A</v>
      </c>
      <c r="J81" s="77" t="str">
        <f ca="1">IF(OR(C81&lt;17,C81=""),IF(B81&lt;&gt;B80,B81,IF($D81="","",INDIRECT(H81))),VLOOKUP(D81,'Start List'!$B$15:$D$120,J$8,FALSE))</f>
        <v/>
      </c>
      <c r="K81" s="77" t="str">
        <f ca="1">IF(OR($D81="",J81=""),"",VLOOKUP($J81,'Start List'!$D$15:$Y$120,'Match Play Standings'!K$8,FALSE))</f>
        <v/>
      </c>
      <c r="L81" s="79" t="str">
        <f ca="1">IF(OR($D81="",J81=""),"",VLOOKUP($J81,'Start List'!$D$15:$Y$120,'Match Play Standings'!L$8,FALSE))</f>
        <v/>
      </c>
      <c r="M81" s="207" t="str">
        <f ca="1">IF(OR($D81="",J81=""),"",VLOOKUP($J81,'Start List'!$D$15:$Y$120,'Match Play Standings'!M$8,FALSE))</f>
        <v/>
      </c>
      <c r="N81" s="210" t="str">
        <f ca="1">IF(OR($D81="",J81=""),"",VLOOKUP($J81,'Start List'!$D$15:$Y$120,'Match Play Standings'!N$8,FALSE))</f>
        <v/>
      </c>
      <c r="O81" s="210" t="str">
        <f ca="1">IF(OR($D81="",J81=""),"",VLOOKUP($J81,'Start List'!$D$15:$Y$120,'Match Play Standings'!O$8,FALSE))</f>
        <v/>
      </c>
      <c r="P81" s="234" t="str">
        <f t="shared" ca="1" si="12"/>
        <v/>
      </c>
      <c r="Q81" s="79" t="str">
        <f t="shared" ca="1" si="13"/>
        <v/>
      </c>
      <c r="R81" s="79" t="str">
        <f t="shared" ca="1" si="14"/>
        <v/>
      </c>
      <c r="S81" s="79" t="str">
        <f t="shared" ca="1" si="14"/>
        <v/>
      </c>
      <c r="T81" s="79" t="str">
        <f t="shared" ca="1" si="14"/>
        <v/>
      </c>
    </row>
    <row r="82" spans="1:20" ht="12.75" x14ac:dyDescent="0.2">
      <c r="A82" s="59" t="str">
        <f>IF(OR(COUNT('Start List'!A:A)+IF(Data!$AP$6=3,1,IF(Data!$AP$6=2,2,COUNTIF('Start List'!$I$9:$I$14,"&lt;21")))='Match Play Standings'!A81,A81=""),"",'Match Play Standings'!A81+1)</f>
        <v/>
      </c>
      <c r="B82" s="74" t="str">
        <f>IF(A82="","",IF(Data!$AP$6=1,VLOOKUP(SMALL('Start List'!$I$9:$I$139,A82),'Start List'!$I$9:$J$14,2,FALSE),IF(Data!$AP$6=2,'Men-Women'!B82,Data!$AK$2)))</f>
        <v/>
      </c>
      <c r="C82" s="75" t="str">
        <f>IF(OR(B82="",COUNTIF($B$9:B82,B82)=1),"",COUNTIF($B$9:B82,B82)-1)</f>
        <v/>
      </c>
      <c r="D82" s="76" t="str">
        <f ca="1">IF(""=C82,"",LARGE(INDIRECT(VLOOKUP(B82,'Start List'!$J$9:$P$14,Data!$AP$6+4,FALSE)),C82))</f>
        <v/>
      </c>
      <c r="E82" s="77" t="e">
        <f t="shared" si="9"/>
        <v>#N/A</v>
      </c>
      <c r="F82" s="80" t="e">
        <f>"'"&amp;VLOOKUP(B82,Translation!$A$2:$E$72,2,FALSE)&amp;"'!"</f>
        <v>#N/A</v>
      </c>
      <c r="G82" s="80" t="e">
        <f>INDEX(Data!$AJ$49:$AJ$64,MATCH(C82,Data!$AI$49:$AI$64))</f>
        <v>#N/A</v>
      </c>
      <c r="H82" s="80" t="e">
        <f t="shared" si="10"/>
        <v>#N/A</v>
      </c>
      <c r="I82" s="80" t="e">
        <f t="shared" ca="1" si="11"/>
        <v>#N/A</v>
      </c>
      <c r="J82" s="77" t="str">
        <f ca="1">IF(OR(C82&lt;17,C82=""),IF(B82&lt;&gt;B81,B82,IF($D82="","",INDIRECT(H82))),VLOOKUP(D82,'Start List'!$B$15:$D$120,J$8,FALSE))</f>
        <v/>
      </c>
      <c r="K82" s="77" t="str">
        <f ca="1">IF(OR($D82="",J82=""),"",VLOOKUP($J82,'Start List'!$D$15:$Y$120,'Match Play Standings'!K$8,FALSE))</f>
        <v/>
      </c>
      <c r="L82" s="79" t="str">
        <f ca="1">IF(OR($D82="",J82=""),"",VLOOKUP($J82,'Start List'!$D$15:$Y$120,'Match Play Standings'!L$8,FALSE))</f>
        <v/>
      </c>
      <c r="M82" s="207" t="str">
        <f ca="1">IF(OR($D82="",J82=""),"",VLOOKUP($J82,'Start List'!$D$15:$Y$120,'Match Play Standings'!M$8,FALSE))</f>
        <v/>
      </c>
      <c r="N82" s="210" t="str">
        <f ca="1">IF(OR($D82="",J82=""),"",VLOOKUP($J82,'Start List'!$D$15:$Y$120,'Match Play Standings'!N$8,FALSE))</f>
        <v/>
      </c>
      <c r="O82" s="210" t="str">
        <f ca="1">IF(OR($D82="",J82=""),"",VLOOKUP($J82,'Start List'!$D$15:$Y$120,'Match Play Standings'!O$8,FALSE))</f>
        <v/>
      </c>
      <c r="P82" s="234" t="str">
        <f t="shared" ca="1" si="12"/>
        <v/>
      </c>
      <c r="Q82" s="79" t="str">
        <f t="shared" ca="1" si="13"/>
        <v/>
      </c>
      <c r="R82" s="79" t="str">
        <f t="shared" ca="1" si="14"/>
        <v/>
      </c>
      <c r="S82" s="79" t="str">
        <f t="shared" ca="1" si="14"/>
        <v/>
      </c>
      <c r="T82" s="79" t="str">
        <f t="shared" ca="1" si="14"/>
        <v/>
      </c>
    </row>
    <row r="83" spans="1:20" ht="12.75" x14ac:dyDescent="0.2">
      <c r="A83" s="59" t="str">
        <f>IF(OR(COUNT('Start List'!A:A)+IF(Data!$AP$6=3,1,IF(Data!$AP$6=2,2,COUNTIF('Start List'!$I$9:$I$14,"&lt;21")))='Match Play Standings'!A82,A82=""),"",'Match Play Standings'!A82+1)</f>
        <v/>
      </c>
      <c r="B83" s="74" t="str">
        <f>IF(A83="","",IF(Data!$AP$6=1,VLOOKUP(SMALL('Start List'!$I$9:$I$139,A83),'Start List'!$I$9:$J$14,2,FALSE),IF(Data!$AP$6=2,'Men-Women'!B83,Data!$AK$2)))</f>
        <v/>
      </c>
      <c r="C83" s="75" t="str">
        <f>IF(OR(B83="",COUNTIF($B$9:B83,B83)=1),"",COUNTIF($B$9:B83,B83)-1)</f>
        <v/>
      </c>
      <c r="D83" s="76" t="str">
        <f ca="1">IF(""=C83,"",LARGE(INDIRECT(VLOOKUP(B83,'Start List'!$J$9:$P$14,Data!$AP$6+4,FALSE)),C83))</f>
        <v/>
      </c>
      <c r="E83" s="77" t="e">
        <f t="shared" si="9"/>
        <v>#N/A</v>
      </c>
      <c r="F83" s="80" t="e">
        <f>"'"&amp;VLOOKUP(B83,Translation!$A$2:$E$72,2,FALSE)&amp;"'!"</f>
        <v>#N/A</v>
      </c>
      <c r="G83" s="80" t="e">
        <f>INDEX(Data!$AJ$49:$AJ$64,MATCH(C83,Data!$AI$49:$AI$64))</f>
        <v>#N/A</v>
      </c>
      <c r="H83" s="80" t="e">
        <f t="shared" si="10"/>
        <v>#N/A</v>
      </c>
      <c r="I83" s="80" t="e">
        <f t="shared" ca="1" si="11"/>
        <v>#N/A</v>
      </c>
      <c r="J83" s="77" t="str">
        <f ca="1">IF(OR(C83&lt;17,C83=""),IF(B83&lt;&gt;B82,B83,IF($D83="","",INDIRECT(H83))),VLOOKUP(D83,'Start List'!$B$15:$D$120,J$8,FALSE))</f>
        <v/>
      </c>
      <c r="K83" s="77" t="str">
        <f ca="1">IF(OR($D83="",J83=""),"",VLOOKUP($J83,'Start List'!$D$15:$Y$120,'Match Play Standings'!K$8,FALSE))</f>
        <v/>
      </c>
      <c r="L83" s="79" t="str">
        <f ca="1">IF(OR($D83="",J83=""),"",VLOOKUP($J83,'Start List'!$D$15:$Y$120,'Match Play Standings'!L$8,FALSE))</f>
        <v/>
      </c>
      <c r="M83" s="207" t="str">
        <f ca="1">IF(OR($D83="",J83=""),"",VLOOKUP($J83,'Start List'!$D$15:$Y$120,'Match Play Standings'!M$8,FALSE))</f>
        <v/>
      </c>
      <c r="N83" s="210" t="str">
        <f ca="1">IF(OR($D83="",J83=""),"",VLOOKUP($J83,'Start List'!$D$15:$Y$120,'Match Play Standings'!N$8,FALSE))</f>
        <v/>
      </c>
      <c r="O83" s="210" t="str">
        <f ca="1">IF(OR($D83="",J83=""),"",VLOOKUP($J83,'Start List'!$D$15:$Y$120,'Match Play Standings'!O$8,FALSE))</f>
        <v/>
      </c>
      <c r="P83" s="234" t="str">
        <f t="shared" ca="1" si="12"/>
        <v/>
      </c>
      <c r="Q83" s="79" t="str">
        <f t="shared" ca="1" si="13"/>
        <v/>
      </c>
      <c r="R83" s="79" t="str">
        <f t="shared" ca="1" si="14"/>
        <v/>
      </c>
      <c r="S83" s="79" t="str">
        <f t="shared" ca="1" si="14"/>
        <v/>
      </c>
      <c r="T83" s="79" t="str">
        <f t="shared" ca="1" si="14"/>
        <v/>
      </c>
    </row>
    <row r="84" spans="1:20" ht="12.75" x14ac:dyDescent="0.2">
      <c r="A84" s="59" t="str">
        <f>IF(OR(COUNT('Start List'!A:A)+IF(Data!$AP$6=3,1,IF(Data!$AP$6=2,2,COUNTIF('Start List'!$I$9:$I$14,"&lt;21")))='Match Play Standings'!A83,A83=""),"",'Match Play Standings'!A83+1)</f>
        <v/>
      </c>
      <c r="B84" s="74" t="str">
        <f>IF(A84="","",IF(Data!$AP$6=1,VLOOKUP(SMALL('Start List'!$I$9:$I$139,A84),'Start List'!$I$9:$J$14,2,FALSE),IF(Data!$AP$6=2,'Men-Women'!B84,Data!$AK$2)))</f>
        <v/>
      </c>
      <c r="C84" s="75" t="str">
        <f>IF(OR(B84="",COUNTIF($B$9:B84,B84)=1),"",COUNTIF($B$9:B84,B84)-1)</f>
        <v/>
      </c>
      <c r="D84" s="76" t="str">
        <f ca="1">IF(""=C84,"",LARGE(INDIRECT(VLOOKUP(B84,'Start List'!$J$9:$P$14,Data!$AP$6+4,FALSE)),C84))</f>
        <v/>
      </c>
      <c r="E84" s="77" t="e">
        <f t="shared" si="9"/>
        <v>#N/A</v>
      </c>
      <c r="F84" s="80" t="e">
        <f>"'"&amp;VLOOKUP(B84,Translation!$A$2:$E$72,2,FALSE)&amp;"'!"</f>
        <v>#N/A</v>
      </c>
      <c r="G84" s="80" t="e">
        <f>INDEX(Data!$AJ$49:$AJ$64,MATCH(C84,Data!$AI$49:$AI$64))</f>
        <v>#N/A</v>
      </c>
      <c r="H84" s="80" t="e">
        <f t="shared" si="10"/>
        <v>#N/A</v>
      </c>
      <c r="I84" s="80" t="e">
        <f t="shared" ca="1" si="11"/>
        <v>#N/A</v>
      </c>
      <c r="J84" s="77" t="str">
        <f ca="1">IF(OR(C84&lt;17,C84=""),IF(B84&lt;&gt;B83,B84,IF($D84="","",INDIRECT(H84))),VLOOKUP(D84,'Start List'!$B$15:$D$120,J$8,FALSE))</f>
        <v/>
      </c>
      <c r="K84" s="77" t="str">
        <f ca="1">IF(OR($D84="",J84=""),"",VLOOKUP($J84,'Start List'!$D$15:$Y$120,'Match Play Standings'!K$8,FALSE))</f>
        <v/>
      </c>
      <c r="L84" s="79" t="str">
        <f ca="1">IF(OR($D84="",J84=""),"",VLOOKUP($J84,'Start List'!$D$15:$Y$120,'Match Play Standings'!L$8,FALSE))</f>
        <v/>
      </c>
      <c r="M84" s="207" t="str">
        <f ca="1">IF(OR($D84="",J84=""),"",VLOOKUP($J84,'Start List'!$D$15:$Y$120,'Match Play Standings'!M$8,FALSE))</f>
        <v/>
      </c>
      <c r="N84" s="210" t="str">
        <f ca="1">IF(OR($D84="",J84=""),"",VLOOKUP($J84,'Start List'!$D$15:$Y$120,'Match Play Standings'!N$8,FALSE))</f>
        <v/>
      </c>
      <c r="O84" s="210" t="str">
        <f ca="1">IF(OR($D84="",J84=""),"",VLOOKUP($J84,'Start List'!$D$15:$Y$120,'Match Play Standings'!O$8,FALSE))</f>
        <v/>
      </c>
      <c r="P84" s="234" t="str">
        <f t="shared" ca="1" si="12"/>
        <v/>
      </c>
      <c r="Q84" s="79" t="str">
        <f t="shared" ca="1" si="13"/>
        <v/>
      </c>
      <c r="R84" s="79" t="str">
        <f t="shared" ca="1" si="14"/>
        <v/>
      </c>
      <c r="S84" s="79" t="str">
        <f t="shared" ca="1" si="14"/>
        <v/>
      </c>
      <c r="T84" s="79" t="str">
        <f t="shared" ca="1" si="14"/>
        <v/>
      </c>
    </row>
    <row r="85" spans="1:20" ht="12.75" x14ac:dyDescent="0.2">
      <c r="A85" s="59" t="str">
        <f>IF(OR(COUNT('Start List'!A:A)+IF(Data!$AP$6=3,1,IF(Data!$AP$6=2,2,COUNTIF('Start List'!$I$9:$I$14,"&lt;21")))='Match Play Standings'!A84,A84=""),"",'Match Play Standings'!A84+1)</f>
        <v/>
      </c>
      <c r="B85" s="74" t="str">
        <f>IF(A85="","",IF(Data!$AP$6=1,VLOOKUP(SMALL('Start List'!$I$9:$I$139,A85),'Start List'!$I$9:$J$14,2,FALSE),IF(Data!$AP$6=2,'Men-Women'!B85,Data!$AK$2)))</f>
        <v/>
      </c>
      <c r="C85" s="75" t="str">
        <f>IF(OR(B85="",COUNTIF($B$9:B85,B85)=1),"",COUNTIF($B$9:B85,B85)-1)</f>
        <v/>
      </c>
      <c r="D85" s="76" t="str">
        <f ca="1">IF(""=C85,"",LARGE(INDIRECT(VLOOKUP(B85,'Start List'!$J$9:$P$14,Data!$AP$6+4,FALSE)),C85))</f>
        <v/>
      </c>
      <c r="E85" s="77" t="e">
        <f t="shared" si="9"/>
        <v>#N/A</v>
      </c>
      <c r="F85" s="80" t="e">
        <f>"'"&amp;VLOOKUP(B85,Translation!$A$2:$E$72,2,FALSE)&amp;"'!"</f>
        <v>#N/A</v>
      </c>
      <c r="G85" s="80" t="e">
        <f>INDEX(Data!$AJ$49:$AJ$64,MATCH(C85,Data!$AI$49:$AI$64))</f>
        <v>#N/A</v>
      </c>
      <c r="H85" s="80" t="e">
        <f t="shared" si="10"/>
        <v>#N/A</v>
      </c>
      <c r="I85" s="80" t="e">
        <f t="shared" ca="1" si="11"/>
        <v>#N/A</v>
      </c>
      <c r="J85" s="77" t="str">
        <f ca="1">IF(OR(C85&lt;17,C85=""),IF(B85&lt;&gt;B84,B85,IF($D85="","",INDIRECT(H85))),VLOOKUP(D85,'Start List'!$B$15:$D$120,J$8,FALSE))</f>
        <v/>
      </c>
      <c r="K85" s="77" t="str">
        <f ca="1">IF(OR($D85="",J85=""),"",VLOOKUP($J85,'Start List'!$D$15:$Y$120,'Match Play Standings'!K$8,FALSE))</f>
        <v/>
      </c>
      <c r="L85" s="79" t="str">
        <f ca="1">IF(OR($D85="",J85=""),"",VLOOKUP($J85,'Start List'!$D$15:$Y$120,'Match Play Standings'!L$8,FALSE))</f>
        <v/>
      </c>
      <c r="M85" s="207" t="str">
        <f ca="1">IF(OR($D85="",J85=""),"",VLOOKUP($J85,'Start List'!$D$15:$Y$120,'Match Play Standings'!M$8,FALSE))</f>
        <v/>
      </c>
      <c r="N85" s="210" t="str">
        <f ca="1">IF(OR($D85="",J85=""),"",VLOOKUP($J85,'Start List'!$D$15:$Y$120,'Match Play Standings'!N$8,FALSE))</f>
        <v/>
      </c>
      <c r="O85" s="210" t="str">
        <f ca="1">IF(OR($D85="",J85=""),"",VLOOKUP($J85,'Start List'!$D$15:$Y$120,'Match Play Standings'!O$8,FALSE))</f>
        <v/>
      </c>
      <c r="P85" s="234" t="str">
        <f t="shared" ca="1" si="12"/>
        <v/>
      </c>
      <c r="Q85" s="79" t="str">
        <f t="shared" ca="1" si="13"/>
        <v/>
      </c>
      <c r="R85" s="79" t="str">
        <f t="shared" ca="1" si="14"/>
        <v/>
      </c>
      <c r="S85" s="79" t="str">
        <f t="shared" ca="1" si="14"/>
        <v/>
      </c>
      <c r="T85" s="79" t="str">
        <f t="shared" ca="1" si="14"/>
        <v/>
      </c>
    </row>
    <row r="86" spans="1:20" ht="12.75" x14ac:dyDescent="0.2">
      <c r="A86" s="59" t="str">
        <f>IF(OR(COUNT('Start List'!A:A)+IF(Data!$AP$6=3,1,IF(Data!$AP$6=2,2,COUNTIF('Start List'!$I$9:$I$14,"&lt;21")))='Match Play Standings'!A85,A85=""),"",'Match Play Standings'!A85+1)</f>
        <v/>
      </c>
      <c r="B86" s="74" t="str">
        <f>IF(A86="","",IF(Data!$AP$6=1,VLOOKUP(SMALL('Start List'!$I$9:$I$139,A86),'Start List'!$I$9:$J$14,2,FALSE),IF(Data!$AP$6=2,'Men-Women'!B86,Data!$AK$2)))</f>
        <v/>
      </c>
      <c r="C86" s="75" t="str">
        <f>IF(OR(B86="",COUNTIF($B$9:B86,B86)=1),"",COUNTIF($B$9:B86,B86)-1)</f>
        <v/>
      </c>
      <c r="D86" s="76" t="str">
        <f ca="1">IF(""=C86,"",LARGE(INDIRECT(VLOOKUP(B86,'Start List'!$J$9:$P$14,Data!$AP$6+4,FALSE)),C86))</f>
        <v/>
      </c>
      <c r="E86" s="77" t="e">
        <f t="shared" si="9"/>
        <v>#N/A</v>
      </c>
      <c r="F86" s="80" t="e">
        <f>"'"&amp;VLOOKUP(B86,Translation!$A$2:$E$72,2,FALSE)&amp;"'!"</f>
        <v>#N/A</v>
      </c>
      <c r="G86" s="80" t="e">
        <f>INDEX(Data!$AJ$49:$AJ$64,MATCH(C86,Data!$AI$49:$AI$64))</f>
        <v>#N/A</v>
      </c>
      <c r="H86" s="80" t="e">
        <f t="shared" si="10"/>
        <v>#N/A</v>
      </c>
      <c r="I86" s="80" t="e">
        <f t="shared" ca="1" si="11"/>
        <v>#N/A</v>
      </c>
      <c r="J86" s="77" t="str">
        <f ca="1">IF(OR(C86&lt;17,C86=""),IF(B86&lt;&gt;B85,B86,IF($D86="","",INDIRECT(H86))),VLOOKUP(D86,'Start List'!$B$15:$D$120,J$8,FALSE))</f>
        <v/>
      </c>
      <c r="K86" s="77" t="str">
        <f ca="1">IF(OR($D86="",J86=""),"",VLOOKUP($J86,'Start List'!$D$15:$Y$120,'Match Play Standings'!K$8,FALSE))</f>
        <v/>
      </c>
      <c r="L86" s="79" t="str">
        <f ca="1">IF(OR($D86="",J86=""),"",VLOOKUP($J86,'Start List'!$D$15:$Y$120,'Match Play Standings'!L$8,FALSE))</f>
        <v/>
      </c>
      <c r="M86" s="207" t="str">
        <f ca="1">IF(OR($D86="",J86=""),"",VLOOKUP($J86,'Start List'!$D$15:$Y$120,'Match Play Standings'!M$8,FALSE))</f>
        <v/>
      </c>
      <c r="N86" s="210" t="str">
        <f ca="1">IF(OR($D86="",J86=""),"",VLOOKUP($J86,'Start List'!$D$15:$Y$120,'Match Play Standings'!N$8,FALSE))</f>
        <v/>
      </c>
      <c r="O86" s="210" t="str">
        <f ca="1">IF(OR($D86="",J86=""),"",VLOOKUP($J86,'Start List'!$D$15:$Y$120,'Match Play Standings'!O$8,FALSE))</f>
        <v/>
      </c>
      <c r="P86" s="234" t="str">
        <f t="shared" ca="1" si="12"/>
        <v/>
      </c>
      <c r="Q86" s="79" t="str">
        <f t="shared" ca="1" si="13"/>
        <v/>
      </c>
      <c r="R86" s="79" t="str">
        <f t="shared" ca="1" si="14"/>
        <v/>
      </c>
      <c r="S86" s="79" t="str">
        <f t="shared" ca="1" si="14"/>
        <v/>
      </c>
      <c r="T86" s="79" t="str">
        <f t="shared" ca="1" si="14"/>
        <v/>
      </c>
    </row>
    <row r="87" spans="1:20" ht="12.75" x14ac:dyDescent="0.2">
      <c r="A87" s="59" t="str">
        <f>IF(OR(COUNT('Start List'!A:A)+IF(Data!$AP$6=3,1,IF(Data!$AP$6=2,2,COUNTIF('Start List'!$I$9:$I$14,"&lt;21")))='Match Play Standings'!A86,A86=""),"",'Match Play Standings'!A86+1)</f>
        <v/>
      </c>
      <c r="B87" s="74" t="str">
        <f>IF(A87="","",IF(Data!$AP$6=1,VLOOKUP(SMALL('Start List'!$I$9:$I$139,A87),'Start List'!$I$9:$J$14,2,FALSE),IF(Data!$AP$6=2,'Men-Women'!B87,Data!$AK$2)))</f>
        <v/>
      </c>
      <c r="C87" s="75" t="str">
        <f>IF(OR(B87="",COUNTIF($B$9:B87,B87)=1),"",COUNTIF($B$9:B87,B87)-1)</f>
        <v/>
      </c>
      <c r="D87" s="76" t="str">
        <f ca="1">IF(""=C87,"",LARGE(INDIRECT(VLOOKUP(B87,'Start List'!$J$9:$P$14,Data!$AP$6+4,FALSE)),C87))</f>
        <v/>
      </c>
      <c r="E87" s="77" t="e">
        <f t="shared" si="9"/>
        <v>#N/A</v>
      </c>
      <c r="F87" s="80" t="e">
        <f>"'"&amp;VLOOKUP(B87,Translation!$A$2:$E$72,2,FALSE)&amp;"'!"</f>
        <v>#N/A</v>
      </c>
      <c r="G87" s="80" t="e">
        <f>INDEX(Data!$AJ$49:$AJ$64,MATCH(C87,Data!$AI$49:$AI$64))</f>
        <v>#N/A</v>
      </c>
      <c r="H87" s="80" t="e">
        <f t="shared" si="10"/>
        <v>#N/A</v>
      </c>
      <c r="I87" s="80" t="e">
        <f t="shared" ca="1" si="11"/>
        <v>#N/A</v>
      </c>
      <c r="J87" s="77" t="str">
        <f ca="1">IF(OR(C87&lt;17,C87=""),IF(B87&lt;&gt;B86,B87,IF($D87="","",INDIRECT(H87))),VLOOKUP(D87,'Start List'!$B$15:$D$120,J$8,FALSE))</f>
        <v/>
      </c>
      <c r="K87" s="77" t="str">
        <f ca="1">IF(OR($D87="",J87=""),"",VLOOKUP($J87,'Start List'!$D$15:$Y$120,'Match Play Standings'!K$8,FALSE))</f>
        <v/>
      </c>
      <c r="L87" s="79" t="str">
        <f ca="1">IF(OR($D87="",J87=""),"",VLOOKUP($J87,'Start List'!$D$15:$Y$120,'Match Play Standings'!L$8,FALSE))</f>
        <v/>
      </c>
      <c r="M87" s="207" t="str">
        <f ca="1">IF(OR($D87="",J87=""),"",VLOOKUP($J87,'Start List'!$D$15:$Y$120,'Match Play Standings'!M$8,FALSE))</f>
        <v/>
      </c>
      <c r="N87" s="210" t="str">
        <f ca="1">IF(OR($D87="",J87=""),"",VLOOKUP($J87,'Start List'!$D$15:$Y$120,'Match Play Standings'!N$8,FALSE))</f>
        <v/>
      </c>
      <c r="O87" s="210" t="str">
        <f ca="1">IF(OR($D87="",J87=""),"",VLOOKUP($J87,'Start List'!$D$15:$Y$120,'Match Play Standings'!O$8,FALSE))</f>
        <v/>
      </c>
      <c r="P87" s="234" t="str">
        <f t="shared" ca="1" si="12"/>
        <v/>
      </c>
      <c r="Q87" s="79" t="str">
        <f t="shared" ca="1" si="13"/>
        <v/>
      </c>
      <c r="R87" s="79" t="str">
        <f t="shared" ca="1" si="14"/>
        <v/>
      </c>
      <c r="S87" s="79" t="str">
        <f t="shared" ca="1" si="14"/>
        <v/>
      </c>
      <c r="T87" s="79" t="str">
        <f t="shared" ca="1" si="14"/>
        <v/>
      </c>
    </row>
    <row r="88" spans="1:20" ht="12.75" x14ac:dyDescent="0.2">
      <c r="A88" s="59" t="str">
        <f>IF(OR(COUNT('Start List'!A:A)+IF(Data!$AP$6=3,1,IF(Data!$AP$6=2,2,COUNTIF('Start List'!$I$9:$I$14,"&lt;21")))='Match Play Standings'!A87,A87=""),"",'Match Play Standings'!A87+1)</f>
        <v/>
      </c>
      <c r="B88" s="74" t="str">
        <f>IF(A88="","",IF(Data!$AP$6=1,VLOOKUP(SMALL('Start List'!$I$9:$I$139,A88),'Start List'!$I$9:$J$14,2,FALSE),IF(Data!$AP$6=2,'Men-Women'!B88,Data!$AK$2)))</f>
        <v/>
      </c>
      <c r="C88" s="75" t="str">
        <f>IF(OR(B88="",COUNTIF($B$9:B88,B88)=1),"",COUNTIF($B$9:B88,B88)-1)</f>
        <v/>
      </c>
      <c r="D88" s="76" t="str">
        <f ca="1">IF(""=C88,"",LARGE(INDIRECT(VLOOKUP(B88,'Start List'!$J$9:$P$14,Data!$AP$6+4,FALSE)),C88))</f>
        <v/>
      </c>
      <c r="E88" s="77" t="e">
        <f t="shared" si="9"/>
        <v>#N/A</v>
      </c>
      <c r="F88" s="80" t="e">
        <f>"'"&amp;VLOOKUP(B88,Translation!$A$2:$E$72,2,FALSE)&amp;"'!"</f>
        <v>#N/A</v>
      </c>
      <c r="G88" s="80" t="e">
        <f>INDEX(Data!$AJ$49:$AJ$64,MATCH(C88,Data!$AI$49:$AI$64))</f>
        <v>#N/A</v>
      </c>
      <c r="H88" s="80" t="e">
        <f t="shared" si="10"/>
        <v>#N/A</v>
      </c>
      <c r="I88" s="80" t="e">
        <f t="shared" ca="1" si="11"/>
        <v>#N/A</v>
      </c>
      <c r="J88" s="77" t="str">
        <f ca="1">IF(OR(C88&lt;17,C88=""),IF(B88&lt;&gt;B87,B88,IF($D88="","",INDIRECT(H88))),VLOOKUP(D88,'Start List'!$B$15:$D$120,J$8,FALSE))</f>
        <v/>
      </c>
      <c r="K88" s="77" t="str">
        <f ca="1">IF(OR($D88="",J88=""),"",VLOOKUP($J88,'Start List'!$D$15:$Y$120,'Match Play Standings'!K$8,FALSE))</f>
        <v/>
      </c>
      <c r="L88" s="79" t="str">
        <f ca="1">IF(OR($D88="",J88=""),"",VLOOKUP($J88,'Start List'!$D$15:$Y$120,'Match Play Standings'!L$8,FALSE))</f>
        <v/>
      </c>
      <c r="M88" s="207" t="str">
        <f ca="1">IF(OR($D88="",J88=""),"",VLOOKUP($J88,'Start List'!$D$15:$Y$120,'Match Play Standings'!M$8,FALSE))</f>
        <v/>
      </c>
      <c r="N88" s="210" t="str">
        <f ca="1">IF(OR($D88="",J88=""),"",VLOOKUP($J88,'Start List'!$D$15:$Y$120,'Match Play Standings'!N$8,FALSE))</f>
        <v/>
      </c>
      <c r="O88" s="210" t="str">
        <f ca="1">IF(OR($D88="",J88=""),"",VLOOKUP($J88,'Start List'!$D$15:$Y$120,'Match Play Standings'!O$8,FALSE))</f>
        <v/>
      </c>
      <c r="P88" s="234" t="str">
        <f t="shared" ca="1" si="12"/>
        <v/>
      </c>
      <c r="Q88" s="79" t="str">
        <f t="shared" ca="1" si="13"/>
        <v/>
      </c>
      <c r="R88" s="79" t="str">
        <f t="shared" ca="1" si="14"/>
        <v/>
      </c>
      <c r="S88" s="79" t="str">
        <f t="shared" ca="1" si="14"/>
        <v/>
      </c>
      <c r="T88" s="79" t="str">
        <f t="shared" ca="1" si="14"/>
        <v/>
      </c>
    </row>
    <row r="89" spans="1:20" ht="12.75" x14ac:dyDescent="0.2">
      <c r="A89" s="59" t="str">
        <f>IF(OR(COUNT('Start List'!A:A)+IF(Data!$AP$6=3,1,IF(Data!$AP$6=2,2,COUNTIF('Start List'!$I$9:$I$14,"&lt;21")))='Match Play Standings'!A88,A88=""),"",'Match Play Standings'!A88+1)</f>
        <v/>
      </c>
      <c r="B89" s="74" t="str">
        <f>IF(A89="","",IF(Data!$AP$6=1,VLOOKUP(SMALL('Start List'!$I$9:$I$139,A89),'Start List'!$I$9:$J$14,2,FALSE),IF(Data!$AP$6=2,'Men-Women'!B89,Data!$AK$2)))</f>
        <v/>
      </c>
      <c r="C89" s="75" t="str">
        <f>IF(OR(B89="",COUNTIF($B$9:B89,B89)=1),"",COUNTIF($B$9:B89,B89)-1)</f>
        <v/>
      </c>
      <c r="D89" s="76" t="str">
        <f ca="1">IF(""=C89,"",LARGE(INDIRECT(VLOOKUP(B89,'Start List'!$J$9:$P$14,Data!$AP$6+4,FALSE)),C89))</f>
        <v/>
      </c>
      <c r="E89" s="77" t="e">
        <f t="shared" si="9"/>
        <v>#N/A</v>
      </c>
      <c r="F89" s="80" t="e">
        <f>"'"&amp;VLOOKUP(B89,Translation!$A$2:$E$72,2,FALSE)&amp;"'!"</f>
        <v>#N/A</v>
      </c>
      <c r="G89" s="80" t="e">
        <f>INDEX(Data!$AJ$49:$AJ$64,MATCH(C89,Data!$AI$49:$AI$64))</f>
        <v>#N/A</v>
      </c>
      <c r="H89" s="80" t="e">
        <f t="shared" si="10"/>
        <v>#N/A</v>
      </c>
      <c r="I89" s="80" t="e">
        <f t="shared" ca="1" si="11"/>
        <v>#N/A</v>
      </c>
      <c r="J89" s="77" t="str">
        <f ca="1">IF(OR(C89&lt;17,C89=""),IF(B89&lt;&gt;B88,B89,IF($D89="","",INDIRECT(H89))),VLOOKUP(D89,'Start List'!$B$15:$D$120,J$8,FALSE))</f>
        <v/>
      </c>
      <c r="K89" s="77" t="str">
        <f ca="1">IF(OR($D89="",J89=""),"",VLOOKUP($J89,'Start List'!$D$15:$Y$120,'Match Play Standings'!K$8,FALSE))</f>
        <v/>
      </c>
      <c r="L89" s="79" t="str">
        <f ca="1">IF(OR($D89="",J89=""),"",VLOOKUP($J89,'Start List'!$D$15:$Y$120,'Match Play Standings'!L$8,FALSE))</f>
        <v/>
      </c>
      <c r="M89" s="207" t="str">
        <f ca="1">IF(OR($D89="",J89=""),"",VLOOKUP($J89,'Start List'!$D$15:$Y$120,'Match Play Standings'!M$8,FALSE))</f>
        <v/>
      </c>
      <c r="N89" s="210" t="str">
        <f ca="1">IF(OR($D89="",J89=""),"",VLOOKUP($J89,'Start List'!$D$15:$Y$120,'Match Play Standings'!N$8,FALSE))</f>
        <v/>
      </c>
      <c r="O89" s="210" t="str">
        <f ca="1">IF(OR($D89="",J89=""),"",VLOOKUP($J89,'Start List'!$D$15:$Y$120,'Match Play Standings'!O$8,FALSE))</f>
        <v/>
      </c>
      <c r="P89" s="234" t="str">
        <f t="shared" ca="1" si="12"/>
        <v/>
      </c>
      <c r="Q89" s="79" t="str">
        <f t="shared" ca="1" si="13"/>
        <v/>
      </c>
      <c r="R89" s="79" t="str">
        <f t="shared" ca="1" si="14"/>
        <v/>
      </c>
      <c r="S89" s="79" t="str">
        <f t="shared" ca="1" si="14"/>
        <v/>
      </c>
      <c r="T89" s="79" t="str">
        <f t="shared" ca="1" si="14"/>
        <v/>
      </c>
    </row>
    <row r="90" spans="1:20" ht="12.75" x14ac:dyDescent="0.2">
      <c r="A90" s="59" t="str">
        <f>IF(OR(COUNT('Start List'!A:A)+IF(Data!$AP$6=3,1,IF(Data!$AP$6=2,2,COUNTIF('Start List'!$I$9:$I$14,"&lt;21")))='Match Play Standings'!A89,A89=""),"",'Match Play Standings'!A89+1)</f>
        <v/>
      </c>
      <c r="B90" s="74" t="str">
        <f>IF(A90="","",IF(Data!$AP$6=1,VLOOKUP(SMALL('Start List'!$I$9:$I$139,A90),'Start List'!$I$9:$J$14,2,FALSE),IF(Data!$AP$6=2,'Men-Women'!B90,Data!$AK$2)))</f>
        <v/>
      </c>
      <c r="C90" s="75" t="str">
        <f>IF(OR(B90="",COUNTIF($B$9:B90,B90)=1),"",COUNTIF($B$9:B90,B90)-1)</f>
        <v/>
      </c>
      <c r="D90" s="76" t="str">
        <f ca="1">IF(""=C90,"",LARGE(INDIRECT(VLOOKUP(B90,'Start List'!$J$9:$P$14,Data!$AP$6+4,FALSE)),C90))</f>
        <v/>
      </c>
      <c r="E90" s="77" t="e">
        <f t="shared" si="9"/>
        <v>#N/A</v>
      </c>
      <c r="F90" s="80" t="e">
        <f>"'"&amp;VLOOKUP(B90,Translation!$A$2:$E$72,2,FALSE)&amp;"'!"</f>
        <v>#N/A</v>
      </c>
      <c r="G90" s="80" t="e">
        <f>INDEX(Data!$AJ$49:$AJ$64,MATCH(C90,Data!$AI$49:$AI$64))</f>
        <v>#N/A</v>
      </c>
      <c r="H90" s="80" t="e">
        <f t="shared" si="10"/>
        <v>#N/A</v>
      </c>
      <c r="I90" s="80" t="e">
        <f t="shared" ca="1" si="11"/>
        <v>#N/A</v>
      </c>
      <c r="J90" s="77" t="str">
        <f ca="1">IF(OR(C90&lt;17,C90=""),IF(B90&lt;&gt;B89,B90,IF($D90="","",INDIRECT(H90))),VLOOKUP(D90,'Start List'!$B$15:$D$120,J$8,FALSE))</f>
        <v/>
      </c>
      <c r="K90" s="77" t="str">
        <f ca="1">IF(OR($D90="",J90=""),"",VLOOKUP($J90,'Start List'!$D$15:$Y$120,'Match Play Standings'!K$8,FALSE))</f>
        <v/>
      </c>
      <c r="L90" s="79" t="str">
        <f ca="1">IF(OR($D90="",J90=""),"",VLOOKUP($J90,'Start List'!$D$15:$Y$120,'Match Play Standings'!L$8,FALSE))</f>
        <v/>
      </c>
      <c r="M90" s="207" t="str">
        <f ca="1">IF(OR($D90="",J90=""),"",VLOOKUP($J90,'Start List'!$D$15:$Y$120,'Match Play Standings'!M$8,FALSE))</f>
        <v/>
      </c>
      <c r="N90" s="210" t="str">
        <f ca="1">IF(OR($D90="",J90=""),"",VLOOKUP($J90,'Start List'!$D$15:$Y$120,'Match Play Standings'!N$8,FALSE))</f>
        <v/>
      </c>
      <c r="O90" s="210" t="str">
        <f ca="1">IF(OR($D90="",J90=""),"",VLOOKUP($J90,'Start List'!$D$15:$Y$120,'Match Play Standings'!O$8,FALSE))</f>
        <v/>
      </c>
      <c r="P90" s="234" t="str">
        <f t="shared" ca="1" si="12"/>
        <v/>
      </c>
      <c r="Q90" s="79" t="str">
        <f t="shared" ca="1" si="13"/>
        <v/>
      </c>
      <c r="R90" s="79" t="str">
        <f t="shared" ca="1" si="14"/>
        <v/>
      </c>
      <c r="S90" s="79" t="str">
        <f t="shared" ca="1" si="14"/>
        <v/>
      </c>
      <c r="T90" s="79" t="str">
        <f t="shared" ca="1" si="14"/>
        <v/>
      </c>
    </row>
    <row r="91" spans="1:20" ht="12.75" x14ac:dyDescent="0.2">
      <c r="A91" s="59" t="str">
        <f>IF(OR(COUNT('Start List'!A:A)+IF(Data!$AP$6=3,1,IF(Data!$AP$6=2,2,COUNTIF('Start List'!$I$9:$I$14,"&lt;21")))='Match Play Standings'!A90,A90=""),"",'Match Play Standings'!A90+1)</f>
        <v/>
      </c>
      <c r="B91" s="74" t="str">
        <f>IF(A91="","",IF(Data!$AP$6=1,VLOOKUP(SMALL('Start List'!$I$9:$I$139,A91),'Start List'!$I$9:$J$14,2,FALSE),IF(Data!$AP$6=2,'Men-Women'!B91,Data!$AK$2)))</f>
        <v/>
      </c>
      <c r="C91" s="75" t="str">
        <f>IF(OR(B91="",COUNTIF($B$9:B91,B91)=1),"",COUNTIF($B$9:B91,B91)-1)</f>
        <v/>
      </c>
      <c r="D91" s="76" t="str">
        <f ca="1">IF(""=C91,"",LARGE(INDIRECT(VLOOKUP(B91,'Start List'!$J$9:$P$14,Data!$AP$6+4,FALSE)),C91))</f>
        <v/>
      </c>
      <c r="E91" s="77" t="e">
        <f t="shared" si="9"/>
        <v>#N/A</v>
      </c>
      <c r="F91" s="80" t="e">
        <f>"'"&amp;VLOOKUP(B91,Translation!$A$2:$E$72,2,FALSE)&amp;"'!"</f>
        <v>#N/A</v>
      </c>
      <c r="G91" s="80" t="e">
        <f>INDEX(Data!$AJ$49:$AJ$64,MATCH(C91,Data!$AI$49:$AI$64))</f>
        <v>#N/A</v>
      </c>
      <c r="H91" s="80" t="e">
        <f t="shared" si="10"/>
        <v>#N/A</v>
      </c>
      <c r="I91" s="80" t="e">
        <f t="shared" ca="1" si="11"/>
        <v>#N/A</v>
      </c>
      <c r="J91" s="77" t="str">
        <f ca="1">IF(OR(C91&lt;17,C91=""),IF(B91&lt;&gt;B90,B91,IF($D91="","",INDIRECT(H91))),VLOOKUP(D91,'Start List'!$B$15:$D$120,J$8,FALSE))</f>
        <v/>
      </c>
      <c r="K91" s="77" t="str">
        <f ca="1">IF(OR($D91="",J91=""),"",VLOOKUP($J91,'Start List'!$D$15:$Y$120,'Match Play Standings'!K$8,FALSE))</f>
        <v/>
      </c>
      <c r="L91" s="79" t="str">
        <f ca="1">IF(OR($D91="",J91=""),"",VLOOKUP($J91,'Start List'!$D$15:$Y$120,'Match Play Standings'!L$8,FALSE))</f>
        <v/>
      </c>
      <c r="M91" s="207" t="str">
        <f ca="1">IF(OR($D91="",J91=""),"",VLOOKUP($J91,'Start List'!$D$15:$Y$120,'Match Play Standings'!M$8,FALSE))</f>
        <v/>
      </c>
      <c r="N91" s="210" t="str">
        <f ca="1">IF(OR($D91="",J91=""),"",VLOOKUP($J91,'Start List'!$D$15:$Y$120,'Match Play Standings'!N$8,FALSE))</f>
        <v/>
      </c>
      <c r="O91" s="210" t="str">
        <f ca="1">IF(OR($D91="",J91=""),"",VLOOKUP($J91,'Start List'!$D$15:$Y$120,'Match Play Standings'!O$8,FALSE))</f>
        <v/>
      </c>
      <c r="P91" s="234" t="str">
        <f t="shared" ca="1" si="12"/>
        <v/>
      </c>
      <c r="Q91" s="79" t="str">
        <f t="shared" ca="1" si="13"/>
        <v/>
      </c>
      <c r="R91" s="79" t="str">
        <f t="shared" ca="1" si="14"/>
        <v/>
      </c>
      <c r="S91" s="79" t="str">
        <f t="shared" ca="1" si="14"/>
        <v/>
      </c>
      <c r="T91" s="79" t="str">
        <f t="shared" ca="1" si="14"/>
        <v/>
      </c>
    </row>
    <row r="92" spans="1:20" ht="12.75" x14ac:dyDescent="0.2">
      <c r="A92" s="59" t="str">
        <f>IF(OR(COUNT('Start List'!A:A)+IF(Data!$AP$6=3,1,IF(Data!$AP$6=2,2,COUNTIF('Start List'!$I$9:$I$14,"&lt;21")))='Match Play Standings'!A91,A91=""),"",'Match Play Standings'!A91+1)</f>
        <v/>
      </c>
      <c r="B92" s="74" t="str">
        <f>IF(A92="","",IF(Data!$AP$6=1,VLOOKUP(SMALL('Start List'!$I$9:$I$139,A92),'Start List'!$I$9:$J$14,2,FALSE),IF(Data!$AP$6=2,'Men-Women'!B92,Data!$AK$2)))</f>
        <v/>
      </c>
      <c r="C92" s="75" t="str">
        <f>IF(OR(B92="",COUNTIF($B$9:B92,B92)=1),"",COUNTIF($B$9:B92,B92)-1)</f>
        <v/>
      </c>
      <c r="D92" s="76" t="str">
        <f ca="1">IF(""=C92,"",LARGE(INDIRECT(VLOOKUP(B92,'Start List'!$J$9:$P$14,Data!$AP$6+4,FALSE)),C92))</f>
        <v/>
      </c>
      <c r="E92" s="77" t="e">
        <f t="shared" si="9"/>
        <v>#N/A</v>
      </c>
      <c r="F92" s="80" t="e">
        <f>"'"&amp;VLOOKUP(B92,Translation!$A$2:$E$72,2,FALSE)&amp;"'!"</f>
        <v>#N/A</v>
      </c>
      <c r="G92" s="80" t="e">
        <f>INDEX(Data!$AJ$49:$AJ$64,MATCH(C92,Data!$AI$49:$AI$64))</f>
        <v>#N/A</v>
      </c>
      <c r="H92" s="80" t="e">
        <f t="shared" si="10"/>
        <v>#N/A</v>
      </c>
      <c r="I92" s="80" t="e">
        <f t="shared" ca="1" si="11"/>
        <v>#N/A</v>
      </c>
      <c r="J92" s="77" t="str">
        <f ca="1">IF(OR(C92&lt;17,C92=""),IF(B92&lt;&gt;B91,B92,IF($D92="","",INDIRECT(H92))),VLOOKUP(D92,'Start List'!$B$15:$D$120,J$8,FALSE))</f>
        <v/>
      </c>
      <c r="K92" s="77" t="str">
        <f ca="1">IF(OR($D92="",J92=""),"",VLOOKUP($J92,'Start List'!$D$15:$Y$120,'Match Play Standings'!K$8,FALSE))</f>
        <v/>
      </c>
      <c r="L92" s="79" t="str">
        <f ca="1">IF(OR($D92="",J92=""),"",VLOOKUP($J92,'Start List'!$D$15:$Y$120,'Match Play Standings'!L$8,FALSE))</f>
        <v/>
      </c>
      <c r="M92" s="207" t="str">
        <f ca="1">IF(OR($D92="",J92=""),"",VLOOKUP($J92,'Start List'!$D$15:$Y$120,'Match Play Standings'!M$8,FALSE))</f>
        <v/>
      </c>
      <c r="N92" s="210" t="str">
        <f ca="1">IF(OR($D92="",J92=""),"",VLOOKUP($J92,'Start List'!$D$15:$Y$120,'Match Play Standings'!N$8,FALSE))</f>
        <v/>
      </c>
      <c r="O92" s="210" t="str">
        <f ca="1">IF(OR($D92="",J92=""),"",VLOOKUP($J92,'Start List'!$D$15:$Y$120,'Match Play Standings'!O$8,FALSE))</f>
        <v/>
      </c>
      <c r="P92" s="234" t="str">
        <f t="shared" ca="1" si="12"/>
        <v/>
      </c>
      <c r="Q92" s="79" t="str">
        <f t="shared" ca="1" si="13"/>
        <v/>
      </c>
      <c r="R92" s="79" t="str">
        <f t="shared" ca="1" si="14"/>
        <v/>
      </c>
      <c r="S92" s="79" t="str">
        <f t="shared" ca="1" si="14"/>
        <v/>
      </c>
      <c r="T92" s="79" t="str">
        <f t="shared" ca="1" si="14"/>
        <v/>
      </c>
    </row>
    <row r="93" spans="1:20" ht="12.75" x14ac:dyDescent="0.2">
      <c r="A93" s="59" t="str">
        <f>IF(OR(COUNT('Start List'!A:A)+IF(Data!$AP$6=3,1,IF(Data!$AP$6=2,2,COUNTIF('Start List'!$I$9:$I$14,"&lt;21")))='Match Play Standings'!A92,A92=""),"",'Match Play Standings'!A92+1)</f>
        <v/>
      </c>
      <c r="B93" s="74" t="str">
        <f>IF(A93="","",IF(Data!$AP$6=1,VLOOKUP(SMALL('Start List'!$I$9:$I$139,A93),'Start List'!$I$9:$J$14,2,FALSE),IF(Data!$AP$6=2,'Men-Women'!B93,Data!$AK$2)))</f>
        <v/>
      </c>
      <c r="C93" s="75" t="str">
        <f>IF(OR(B93="",COUNTIF($B$9:B93,B93)=1),"",COUNTIF($B$9:B93,B93)-1)</f>
        <v/>
      </c>
      <c r="D93" s="76" t="str">
        <f ca="1">IF(""=C93,"",LARGE(INDIRECT(VLOOKUP(B93,'Start List'!$J$9:$P$14,Data!$AP$6+4,FALSE)),C93))</f>
        <v/>
      </c>
      <c r="E93" s="77" t="e">
        <f t="shared" si="9"/>
        <v>#N/A</v>
      </c>
      <c r="F93" s="80" t="e">
        <f>"'"&amp;VLOOKUP(B93,Translation!$A$2:$E$72,2,FALSE)&amp;"'!"</f>
        <v>#N/A</v>
      </c>
      <c r="G93" s="80" t="e">
        <f>INDEX(Data!$AJ$49:$AJ$64,MATCH(C93,Data!$AI$49:$AI$64))</f>
        <v>#N/A</v>
      </c>
      <c r="H93" s="80" t="e">
        <f t="shared" si="10"/>
        <v>#N/A</v>
      </c>
      <c r="I93" s="80" t="e">
        <f t="shared" ca="1" si="11"/>
        <v>#N/A</v>
      </c>
      <c r="J93" s="77" t="str">
        <f ca="1">IF(OR(C93&lt;17,C93=""),IF(B93&lt;&gt;B92,B93,IF($D93="","",INDIRECT(H93))),VLOOKUP(D93,'Start List'!$B$15:$D$120,J$8,FALSE))</f>
        <v/>
      </c>
      <c r="K93" s="77" t="str">
        <f ca="1">IF(OR($D93="",J93=""),"",VLOOKUP($J93,'Start List'!$D$15:$Y$120,'Match Play Standings'!K$8,FALSE))</f>
        <v/>
      </c>
      <c r="L93" s="79" t="str">
        <f ca="1">IF(OR($D93="",J93=""),"",VLOOKUP($J93,'Start List'!$D$15:$Y$120,'Match Play Standings'!L$8,FALSE))</f>
        <v/>
      </c>
      <c r="M93" s="207" t="str">
        <f ca="1">IF(OR($D93="",J93=""),"",VLOOKUP($J93,'Start List'!$D$15:$Y$120,'Match Play Standings'!M$8,FALSE))</f>
        <v/>
      </c>
      <c r="N93" s="210" t="str">
        <f ca="1">IF(OR($D93="",J93=""),"",VLOOKUP($J93,'Start List'!$D$15:$Y$120,'Match Play Standings'!N$8,FALSE))</f>
        <v/>
      </c>
      <c r="O93" s="210" t="str">
        <f ca="1">IF(OR($D93="",J93=""),"",VLOOKUP($J93,'Start List'!$D$15:$Y$120,'Match Play Standings'!O$8,FALSE))</f>
        <v/>
      </c>
      <c r="P93" s="234" t="str">
        <f t="shared" ca="1" si="12"/>
        <v/>
      </c>
      <c r="Q93" s="79" t="str">
        <f t="shared" ca="1" si="13"/>
        <v/>
      </c>
      <c r="R93" s="79" t="str">
        <f t="shared" ca="1" si="14"/>
        <v/>
      </c>
      <c r="S93" s="79" t="str">
        <f t="shared" ca="1" si="14"/>
        <v/>
      </c>
      <c r="T93" s="79" t="str">
        <f t="shared" ca="1" si="14"/>
        <v/>
      </c>
    </row>
    <row r="94" spans="1:20" ht="12.75" x14ac:dyDescent="0.2">
      <c r="A94" s="59" t="str">
        <f>IF(OR(COUNT('Start List'!A:A)+IF(Data!$AP$6=3,1,IF(Data!$AP$6=2,2,COUNTIF('Start List'!$I$9:$I$14,"&lt;21")))='Match Play Standings'!A93,A93=""),"",'Match Play Standings'!A93+1)</f>
        <v/>
      </c>
      <c r="B94" s="74" t="str">
        <f>IF(A94="","",IF(Data!$AP$6=1,VLOOKUP(SMALL('Start List'!$I$9:$I$139,A94),'Start List'!$I$9:$J$14,2,FALSE),IF(Data!$AP$6=2,'Men-Women'!B94,Data!$AK$2)))</f>
        <v/>
      </c>
      <c r="C94" s="75" t="str">
        <f>IF(OR(B94="",COUNTIF($B$9:B94,B94)=1),"",COUNTIF($B$9:B94,B94)-1)</f>
        <v/>
      </c>
      <c r="D94" s="76" t="str">
        <f ca="1">IF(""=C94,"",LARGE(INDIRECT(VLOOKUP(B94,'Start List'!$J$9:$P$14,Data!$AP$6+4,FALSE)),C94))</f>
        <v/>
      </c>
      <c r="E94" s="77" t="e">
        <f t="shared" si="9"/>
        <v>#N/A</v>
      </c>
      <c r="F94" s="80" t="e">
        <f>"'"&amp;VLOOKUP(B94,Translation!$A$2:$E$72,2,FALSE)&amp;"'!"</f>
        <v>#N/A</v>
      </c>
      <c r="G94" s="80" t="e">
        <f>INDEX(Data!$AJ$49:$AJ$64,MATCH(C94,Data!$AI$49:$AI$64))</f>
        <v>#N/A</v>
      </c>
      <c r="H94" s="80" t="e">
        <f t="shared" si="10"/>
        <v>#N/A</v>
      </c>
      <c r="I94" s="80" t="e">
        <f t="shared" ca="1" si="11"/>
        <v>#N/A</v>
      </c>
      <c r="J94" s="77" t="str">
        <f ca="1">IF(OR(C94&lt;17,C94=""),IF(B94&lt;&gt;B93,B94,IF($D94="","",INDIRECT(H94))),VLOOKUP(D94,'Start List'!$B$15:$D$120,J$8,FALSE))</f>
        <v/>
      </c>
      <c r="K94" s="77" t="str">
        <f ca="1">IF(OR($D94="",J94=""),"",VLOOKUP($J94,'Start List'!$D$15:$Y$120,'Match Play Standings'!K$8,FALSE))</f>
        <v/>
      </c>
      <c r="L94" s="79" t="str">
        <f ca="1">IF(OR($D94="",J94=""),"",VLOOKUP($J94,'Start List'!$D$15:$Y$120,'Match Play Standings'!L$8,FALSE))</f>
        <v/>
      </c>
      <c r="M94" s="207" t="str">
        <f ca="1">IF(OR($D94="",J94=""),"",VLOOKUP($J94,'Start List'!$D$15:$Y$120,'Match Play Standings'!M$8,FALSE))</f>
        <v/>
      </c>
      <c r="N94" s="210" t="str">
        <f ca="1">IF(OR($D94="",J94=""),"",VLOOKUP($J94,'Start List'!$D$15:$Y$120,'Match Play Standings'!N$8,FALSE))</f>
        <v/>
      </c>
      <c r="O94" s="210" t="str">
        <f ca="1">IF(OR($D94="",J94=""),"",VLOOKUP($J94,'Start List'!$D$15:$Y$120,'Match Play Standings'!O$8,FALSE))</f>
        <v/>
      </c>
      <c r="P94" s="234" t="str">
        <f t="shared" ca="1" si="12"/>
        <v/>
      </c>
      <c r="Q94" s="79" t="str">
        <f t="shared" ca="1" si="13"/>
        <v/>
      </c>
      <c r="R94" s="79" t="str">
        <f t="shared" ca="1" si="14"/>
        <v/>
      </c>
      <c r="S94" s="79" t="str">
        <f t="shared" ca="1" si="14"/>
        <v/>
      </c>
      <c r="T94" s="79" t="str">
        <f t="shared" ca="1" si="14"/>
        <v/>
      </c>
    </row>
    <row r="95" spans="1:20" ht="12.75" x14ac:dyDescent="0.2">
      <c r="A95" s="59" t="str">
        <f>IF(OR(COUNT('Start List'!A:A)+IF(Data!$AP$6=3,1,IF(Data!$AP$6=2,2,COUNTIF('Start List'!$I$9:$I$14,"&lt;21")))='Match Play Standings'!A94,A94=""),"",'Match Play Standings'!A94+1)</f>
        <v/>
      </c>
      <c r="B95" s="74" t="str">
        <f>IF(A95="","",IF(Data!$AP$6=1,VLOOKUP(SMALL('Start List'!$I$9:$I$139,A95),'Start List'!$I$9:$J$14,2,FALSE),IF(Data!$AP$6=2,'Men-Women'!B95,Data!$AK$2)))</f>
        <v/>
      </c>
      <c r="C95" s="75" t="str">
        <f>IF(OR(B95="",COUNTIF($B$9:B95,B95)=1),"",COUNTIF($B$9:B95,B95)-1)</f>
        <v/>
      </c>
      <c r="D95" s="76" t="str">
        <f ca="1">IF(""=C95,"",LARGE(INDIRECT(VLOOKUP(B95,'Start List'!$J$9:$P$14,Data!$AP$6+4,FALSE)),C95))</f>
        <v/>
      </c>
      <c r="E95" s="77" t="e">
        <f t="shared" si="9"/>
        <v>#N/A</v>
      </c>
      <c r="F95" s="80" t="e">
        <f>"'"&amp;VLOOKUP(B95,Translation!$A$2:$E$72,2,FALSE)&amp;"'!"</f>
        <v>#N/A</v>
      </c>
      <c r="G95" s="80" t="e">
        <f>INDEX(Data!$AJ$49:$AJ$64,MATCH(C95,Data!$AI$49:$AI$64))</f>
        <v>#N/A</v>
      </c>
      <c r="H95" s="80" t="e">
        <f t="shared" si="10"/>
        <v>#N/A</v>
      </c>
      <c r="I95" s="80" t="e">
        <f t="shared" ca="1" si="11"/>
        <v>#N/A</v>
      </c>
      <c r="J95" s="77" t="str">
        <f ca="1">IF(OR(C95&lt;17,C95=""),IF(B95&lt;&gt;B94,B95,IF($D95="","",INDIRECT(H95))),VLOOKUP(D95,'Start List'!$B$15:$D$120,J$8,FALSE))</f>
        <v/>
      </c>
      <c r="K95" s="77" t="str">
        <f ca="1">IF(OR($D95="",J95=""),"",VLOOKUP($J95,'Start List'!$D$15:$Y$120,'Match Play Standings'!K$8,FALSE))</f>
        <v/>
      </c>
      <c r="L95" s="79" t="str">
        <f ca="1">IF(OR($D95="",J95=""),"",VLOOKUP($J95,'Start List'!$D$15:$Y$120,'Match Play Standings'!L$8,FALSE))</f>
        <v/>
      </c>
      <c r="M95" s="207" t="str">
        <f ca="1">IF(OR($D95="",J95=""),"",VLOOKUP($J95,'Start List'!$D$15:$Y$120,'Match Play Standings'!M$8,FALSE))</f>
        <v/>
      </c>
      <c r="N95" s="210" t="str">
        <f ca="1">IF(OR($D95="",J95=""),"",VLOOKUP($J95,'Start List'!$D$15:$Y$120,'Match Play Standings'!N$8,FALSE))</f>
        <v/>
      </c>
      <c r="O95" s="210" t="str">
        <f ca="1">IF(OR($D95="",J95=""),"",VLOOKUP($J95,'Start List'!$D$15:$Y$120,'Match Play Standings'!O$8,FALSE))</f>
        <v/>
      </c>
      <c r="P95" s="234" t="str">
        <f t="shared" ca="1" si="12"/>
        <v/>
      </c>
      <c r="Q95" s="79" t="str">
        <f t="shared" ca="1" si="13"/>
        <v/>
      </c>
      <c r="R95" s="79" t="str">
        <f t="shared" ca="1" si="14"/>
        <v/>
      </c>
      <c r="S95" s="79" t="str">
        <f t="shared" ca="1" si="14"/>
        <v/>
      </c>
      <c r="T95" s="79" t="str">
        <f t="shared" ca="1" si="14"/>
        <v/>
      </c>
    </row>
    <row r="96" spans="1:20" ht="12.75" x14ac:dyDescent="0.2">
      <c r="A96" s="59" t="str">
        <f>IF(OR(COUNT('Start List'!A:A)+IF(Data!$AP$6=3,1,IF(Data!$AP$6=2,2,COUNTIF('Start List'!$I$9:$I$14,"&lt;21")))='Match Play Standings'!A95,A95=""),"",'Match Play Standings'!A95+1)</f>
        <v/>
      </c>
      <c r="B96" s="74" t="str">
        <f>IF(A96="","",IF(Data!$AP$6=1,VLOOKUP(SMALL('Start List'!$I$9:$I$139,A96),'Start List'!$I$9:$J$14,2,FALSE),IF(Data!$AP$6=2,'Men-Women'!B96,Data!$AK$2)))</f>
        <v/>
      </c>
      <c r="C96" s="75" t="str">
        <f>IF(OR(B96="",COUNTIF($B$9:B96,B96)=1),"",COUNTIF($B$9:B96,B96)-1)</f>
        <v/>
      </c>
      <c r="D96" s="76" t="str">
        <f ca="1">IF(""=C96,"",LARGE(INDIRECT(VLOOKUP(B96,'Start List'!$J$9:$P$14,Data!$AP$6+4,FALSE)),C96))</f>
        <v/>
      </c>
      <c r="E96" s="77" t="e">
        <f t="shared" si="9"/>
        <v>#N/A</v>
      </c>
      <c r="F96" s="80" t="e">
        <f>"'"&amp;VLOOKUP(B96,Translation!$A$2:$E$72,2,FALSE)&amp;"'!"</f>
        <v>#N/A</v>
      </c>
      <c r="G96" s="80" t="e">
        <f>INDEX(Data!$AJ$49:$AJ$64,MATCH(C96,Data!$AI$49:$AI$64))</f>
        <v>#N/A</v>
      </c>
      <c r="H96" s="80" t="e">
        <f t="shared" si="10"/>
        <v>#N/A</v>
      </c>
      <c r="I96" s="80" t="e">
        <f t="shared" ca="1" si="11"/>
        <v>#N/A</v>
      </c>
      <c r="J96" s="77" t="str">
        <f ca="1">IF(OR(C96&lt;17,C96=""),IF(B96&lt;&gt;B95,B96,IF($D96="","",INDIRECT(H96))),VLOOKUP(D96,'Start List'!$B$15:$D$120,J$8,FALSE))</f>
        <v/>
      </c>
      <c r="K96" s="77" t="str">
        <f ca="1">IF(OR($D96="",J96=""),"",VLOOKUP($J96,'Start List'!$D$15:$Y$120,'Match Play Standings'!K$8,FALSE))</f>
        <v/>
      </c>
      <c r="L96" s="79" t="str">
        <f ca="1">IF(OR($D96="",J96=""),"",VLOOKUP($J96,'Start List'!$D$15:$Y$120,'Match Play Standings'!L$8,FALSE))</f>
        <v/>
      </c>
      <c r="M96" s="207" t="str">
        <f ca="1">IF(OR($D96="",J96=""),"",VLOOKUP($J96,'Start List'!$D$15:$Y$120,'Match Play Standings'!M$8,FALSE))</f>
        <v/>
      </c>
      <c r="N96" s="210" t="str">
        <f ca="1">IF(OR($D96="",J96=""),"",VLOOKUP($J96,'Start List'!$D$15:$Y$120,'Match Play Standings'!N$8,FALSE))</f>
        <v/>
      </c>
      <c r="O96" s="210" t="str">
        <f ca="1">IF(OR($D96="",J96=""),"",VLOOKUP($J96,'Start List'!$D$15:$Y$120,'Match Play Standings'!O$8,FALSE))</f>
        <v/>
      </c>
      <c r="P96" s="234" t="str">
        <f t="shared" ca="1" si="12"/>
        <v/>
      </c>
      <c r="Q96" s="79" t="str">
        <f t="shared" ca="1" si="13"/>
        <v/>
      </c>
      <c r="R96" s="79" t="str">
        <f t="shared" ca="1" si="14"/>
        <v/>
      </c>
      <c r="S96" s="79" t="str">
        <f t="shared" ca="1" si="14"/>
        <v/>
      </c>
      <c r="T96" s="79" t="str">
        <f t="shared" ca="1" si="14"/>
        <v/>
      </c>
    </row>
    <row r="97" spans="1:20" ht="12.75" x14ac:dyDescent="0.2">
      <c r="A97" s="59" t="str">
        <f>IF(OR(COUNT('Start List'!A:A)+IF(Data!$AP$6=3,1,IF(Data!$AP$6=2,2,COUNTIF('Start List'!$I$9:$I$14,"&lt;21")))='Match Play Standings'!A96,A96=""),"",'Match Play Standings'!A96+1)</f>
        <v/>
      </c>
      <c r="B97" s="74" t="str">
        <f>IF(A97="","",IF(Data!$AP$6=1,VLOOKUP(SMALL('Start List'!$I$9:$I$139,A97),'Start List'!$I$9:$J$14,2,FALSE),IF(Data!$AP$6=2,'Men-Women'!B97,Data!$AK$2)))</f>
        <v/>
      </c>
      <c r="C97" s="75" t="str">
        <f>IF(OR(B97="",COUNTIF($B$9:B97,B97)=1),"",COUNTIF($B$9:B97,B97)-1)</f>
        <v/>
      </c>
      <c r="D97" s="76" t="str">
        <f ca="1">IF(""=C97,"",LARGE(INDIRECT(VLOOKUP(B97,'Start List'!$J$9:$P$14,Data!$AP$6+4,FALSE)),C97))</f>
        <v/>
      </c>
      <c r="E97" s="77" t="e">
        <f t="shared" si="9"/>
        <v>#N/A</v>
      </c>
      <c r="F97" s="80" t="e">
        <f>"'"&amp;VLOOKUP(B97,Translation!$A$2:$E$72,2,FALSE)&amp;"'!"</f>
        <v>#N/A</v>
      </c>
      <c r="G97" s="80" t="e">
        <f>INDEX(Data!$AJ$49:$AJ$64,MATCH(C97,Data!$AI$49:$AI$64))</f>
        <v>#N/A</v>
      </c>
      <c r="H97" s="80" t="e">
        <f t="shared" si="10"/>
        <v>#N/A</v>
      </c>
      <c r="I97" s="80" t="e">
        <f t="shared" ca="1" si="11"/>
        <v>#N/A</v>
      </c>
      <c r="J97" s="77" t="str">
        <f ca="1">IF(OR(C97&lt;17,C97=""),IF(B97&lt;&gt;B96,B97,IF($D97="","",INDIRECT(H97))),VLOOKUP(D97,'Start List'!$B$15:$D$120,J$8,FALSE))</f>
        <v/>
      </c>
      <c r="K97" s="77" t="str">
        <f ca="1">IF(OR($D97="",J97=""),"",VLOOKUP($J97,'Start List'!$D$15:$Y$120,'Match Play Standings'!K$8,FALSE))</f>
        <v/>
      </c>
      <c r="L97" s="79" t="str">
        <f ca="1">IF(OR($D97="",J97=""),"",VLOOKUP($J97,'Start List'!$D$15:$Y$120,'Match Play Standings'!L$8,FALSE))</f>
        <v/>
      </c>
      <c r="M97" s="207" t="str">
        <f ca="1">IF(OR($D97="",J97=""),"",VLOOKUP($J97,'Start List'!$D$15:$Y$120,'Match Play Standings'!M$8,FALSE))</f>
        <v/>
      </c>
      <c r="N97" s="210" t="str">
        <f ca="1">IF(OR($D97="",J97=""),"",VLOOKUP($J97,'Start List'!$D$15:$Y$120,'Match Play Standings'!N$8,FALSE))</f>
        <v/>
      </c>
      <c r="O97" s="210" t="str">
        <f ca="1">IF(OR($D97="",J97=""),"",VLOOKUP($J97,'Start List'!$D$15:$Y$120,'Match Play Standings'!O$8,FALSE))</f>
        <v/>
      </c>
      <c r="P97" s="234" t="str">
        <f t="shared" ca="1" si="12"/>
        <v/>
      </c>
      <c r="Q97" s="79" t="str">
        <f t="shared" ca="1" si="13"/>
        <v/>
      </c>
      <c r="R97" s="79" t="str">
        <f t="shared" ca="1" si="14"/>
        <v/>
      </c>
      <c r="S97" s="79" t="str">
        <f t="shared" ca="1" si="14"/>
        <v/>
      </c>
      <c r="T97" s="79" t="str">
        <f t="shared" ca="1" si="14"/>
        <v/>
      </c>
    </row>
    <row r="98" spans="1:20" ht="12.75" x14ac:dyDescent="0.2">
      <c r="A98" s="59" t="str">
        <f>IF(OR(COUNT('Start List'!A:A)+IF(Data!$AP$6=3,1,IF(Data!$AP$6=2,2,COUNTIF('Start List'!$I$9:$I$14,"&lt;21")))='Match Play Standings'!A97,A97=""),"",'Match Play Standings'!A97+1)</f>
        <v/>
      </c>
      <c r="B98" s="74" t="str">
        <f>IF(A98="","",IF(Data!$AP$6=1,VLOOKUP(SMALL('Start List'!$I$9:$I$139,A98),'Start List'!$I$9:$J$14,2,FALSE),IF(Data!$AP$6=2,'Men-Women'!B98,Data!$AK$2)))</f>
        <v/>
      </c>
      <c r="C98" s="75" t="str">
        <f>IF(OR(B98="",COUNTIF($B$9:B98,B98)=1),"",COUNTIF($B$9:B98,B98)-1)</f>
        <v/>
      </c>
      <c r="D98" s="76" t="str">
        <f ca="1">IF(""=C98,"",LARGE(INDIRECT(VLOOKUP(B98,'Start List'!$J$9:$P$14,Data!$AP$6+4,FALSE)),C98))</f>
        <v/>
      </c>
      <c r="E98" s="77" t="e">
        <f t="shared" si="9"/>
        <v>#N/A</v>
      </c>
      <c r="F98" s="80" t="e">
        <f>"'"&amp;VLOOKUP(B98,Translation!$A$2:$E$72,2,FALSE)&amp;"'!"</f>
        <v>#N/A</v>
      </c>
      <c r="G98" s="80" t="e">
        <f>INDEX(Data!$AJ$49:$AJ$64,MATCH(C98,Data!$AI$49:$AI$64))</f>
        <v>#N/A</v>
      </c>
      <c r="H98" s="80" t="e">
        <f t="shared" si="10"/>
        <v>#N/A</v>
      </c>
      <c r="I98" s="80" t="e">
        <f t="shared" ca="1" si="11"/>
        <v>#N/A</v>
      </c>
      <c r="J98" s="77" t="str">
        <f ca="1">IF(OR(C98&lt;17,C98=""),IF(B98&lt;&gt;B97,B98,IF($D98="","",INDIRECT(H98))),VLOOKUP(D98,'Start List'!$B$15:$D$120,J$8,FALSE))</f>
        <v/>
      </c>
      <c r="K98" s="77" t="str">
        <f ca="1">IF(OR($D98="",J98=""),"",VLOOKUP($J98,'Start List'!$D$15:$Y$120,'Match Play Standings'!K$8,FALSE))</f>
        <v/>
      </c>
      <c r="L98" s="79" t="str">
        <f ca="1">IF(OR($D98="",J98=""),"",VLOOKUP($J98,'Start List'!$D$15:$Y$120,'Match Play Standings'!L$8,FALSE))</f>
        <v/>
      </c>
      <c r="M98" s="207" t="str">
        <f ca="1">IF(OR($D98="",J98=""),"",VLOOKUP($J98,'Start List'!$D$15:$Y$120,'Match Play Standings'!M$8,FALSE))</f>
        <v/>
      </c>
      <c r="N98" s="210" t="str">
        <f ca="1">IF(OR($D98="",J98=""),"",VLOOKUP($J98,'Start List'!$D$15:$Y$120,'Match Play Standings'!N$8,FALSE))</f>
        <v/>
      </c>
      <c r="O98" s="210" t="str">
        <f ca="1">IF(OR($D98="",J98=""),"",VLOOKUP($J98,'Start List'!$D$15:$Y$120,'Match Play Standings'!O$8,FALSE))</f>
        <v/>
      </c>
      <c r="P98" s="234" t="str">
        <f t="shared" ca="1" si="12"/>
        <v/>
      </c>
      <c r="Q98" s="79" t="str">
        <f t="shared" ca="1" si="13"/>
        <v/>
      </c>
      <c r="R98" s="79" t="str">
        <f t="shared" ca="1" si="14"/>
        <v/>
      </c>
      <c r="S98" s="79" t="str">
        <f t="shared" ca="1" si="14"/>
        <v/>
      </c>
      <c r="T98" s="79" t="str">
        <f t="shared" ca="1" si="14"/>
        <v/>
      </c>
    </row>
    <row r="99" spans="1:20" ht="12.75" x14ac:dyDescent="0.2">
      <c r="A99" s="59" t="str">
        <f>IF(OR(COUNT('Start List'!A:A)+IF(Data!$AP$6=3,1,IF(Data!$AP$6=2,2,COUNTIF('Start List'!$I$9:$I$14,"&lt;21")))='Match Play Standings'!A98,A98=""),"",'Match Play Standings'!A98+1)</f>
        <v/>
      </c>
      <c r="B99" s="74" t="str">
        <f>IF(A99="","",IF(Data!$AP$6=1,VLOOKUP(SMALL('Start List'!$I$9:$I$139,A99),'Start List'!$I$9:$J$14,2,FALSE),IF(Data!$AP$6=2,'Men-Women'!B99,Data!$AK$2)))</f>
        <v/>
      </c>
      <c r="C99" s="75" t="str">
        <f>IF(OR(B99="",COUNTIF($B$9:B99,B99)=1),"",COUNTIF($B$9:B99,B99)-1)</f>
        <v/>
      </c>
      <c r="D99" s="76" t="str">
        <f ca="1">IF(""=C99,"",LARGE(INDIRECT(VLOOKUP(B99,'Start List'!$J$9:$P$14,Data!$AP$6+4,FALSE)),C99))</f>
        <v/>
      </c>
      <c r="E99" s="77" t="e">
        <f t="shared" si="9"/>
        <v>#N/A</v>
      </c>
      <c r="F99" s="80" t="e">
        <f>"'"&amp;VLOOKUP(B99,Translation!$A$2:$E$72,2,FALSE)&amp;"'!"</f>
        <v>#N/A</v>
      </c>
      <c r="G99" s="80" t="e">
        <f>INDEX(Data!$AJ$49:$AJ$64,MATCH(C99,Data!$AI$49:$AI$64))</f>
        <v>#N/A</v>
      </c>
      <c r="H99" s="80" t="e">
        <f t="shared" si="10"/>
        <v>#N/A</v>
      </c>
      <c r="I99" s="80" t="e">
        <f t="shared" ca="1" si="11"/>
        <v>#N/A</v>
      </c>
      <c r="J99" s="77" t="str">
        <f ca="1">IF(OR(C99&lt;17,C99=""),IF(B99&lt;&gt;B98,B99,IF($D99="","",INDIRECT(H99))),VLOOKUP(D99,'Start List'!$B$15:$D$120,J$8,FALSE))</f>
        <v/>
      </c>
      <c r="K99" s="77" t="str">
        <f ca="1">IF(OR($D99="",J99=""),"",VLOOKUP($J99,'Start List'!$D$15:$Y$120,'Match Play Standings'!K$8,FALSE))</f>
        <v/>
      </c>
      <c r="L99" s="79" t="str">
        <f ca="1">IF(OR($D99="",J99=""),"",VLOOKUP($J99,'Start List'!$D$15:$Y$120,'Match Play Standings'!L$8,FALSE))</f>
        <v/>
      </c>
      <c r="M99" s="207" t="str">
        <f ca="1">IF(OR($D99="",J99=""),"",VLOOKUP($J99,'Start List'!$D$15:$Y$120,'Match Play Standings'!M$8,FALSE))</f>
        <v/>
      </c>
      <c r="N99" s="210" t="str">
        <f ca="1">IF(OR($D99="",J99=""),"",VLOOKUP($J99,'Start List'!$D$15:$Y$120,'Match Play Standings'!N$8,FALSE))</f>
        <v/>
      </c>
      <c r="O99" s="210" t="str">
        <f ca="1">IF(OR($D99="",J99=""),"",VLOOKUP($J99,'Start List'!$D$15:$Y$120,'Match Play Standings'!O$8,FALSE))</f>
        <v/>
      </c>
      <c r="P99" s="234" t="str">
        <f t="shared" ca="1" si="12"/>
        <v/>
      </c>
      <c r="Q99" s="79" t="str">
        <f t="shared" ca="1" si="13"/>
        <v/>
      </c>
      <c r="R99" s="79" t="str">
        <f t="shared" ca="1" si="14"/>
        <v/>
      </c>
      <c r="S99" s="79" t="str">
        <f t="shared" ca="1" si="14"/>
        <v/>
      </c>
      <c r="T99" s="79" t="str">
        <f t="shared" ca="1" si="14"/>
        <v/>
      </c>
    </row>
    <row r="100" spans="1:20" ht="12.75" x14ac:dyDescent="0.2">
      <c r="A100" s="59" t="str">
        <f>IF(OR(COUNT('Start List'!A:A)+IF(Data!$AP$6=3,1,IF(Data!$AP$6=2,2,COUNTIF('Start List'!$I$9:$I$14,"&lt;21")))='Match Play Standings'!A99,A99=""),"",'Match Play Standings'!A99+1)</f>
        <v/>
      </c>
      <c r="B100" s="74" t="str">
        <f>IF(A100="","",IF(Data!$AP$6=1,VLOOKUP(SMALL('Start List'!$I$9:$I$139,A100),'Start List'!$I$9:$J$14,2,FALSE),IF(Data!$AP$6=2,'Men-Women'!B100,Data!$AK$2)))</f>
        <v/>
      </c>
      <c r="C100" s="75" t="str">
        <f>IF(OR(B100="",COUNTIF($B$9:B100,B100)=1),"",COUNTIF($B$9:B100,B100)-1)</f>
        <v/>
      </c>
      <c r="D100" s="76" t="str">
        <f ca="1">IF(""=C100,"",LARGE(INDIRECT(VLOOKUP(B100,'Start List'!$J$9:$P$14,Data!$AP$6+4,FALSE)),C100))</f>
        <v/>
      </c>
      <c r="E100" s="77" t="e">
        <f t="shared" si="9"/>
        <v>#N/A</v>
      </c>
      <c r="F100" s="80" t="e">
        <f>"'"&amp;VLOOKUP(B100,Translation!$A$2:$E$72,2,FALSE)&amp;"'!"</f>
        <v>#N/A</v>
      </c>
      <c r="G100" s="80" t="e">
        <f>INDEX(Data!$AJ$49:$AJ$64,MATCH(C100,Data!$AI$49:$AI$64))</f>
        <v>#N/A</v>
      </c>
      <c r="H100" s="80" t="e">
        <f t="shared" si="10"/>
        <v>#N/A</v>
      </c>
      <c r="I100" s="80" t="e">
        <f t="shared" ca="1" si="11"/>
        <v>#N/A</v>
      </c>
      <c r="J100" s="77" t="str">
        <f ca="1">IF(OR(C100&lt;17,C100=""),IF(B100&lt;&gt;B99,B100,IF($D100="","",INDIRECT(H100))),VLOOKUP(D100,'Start List'!$B$15:$D$120,J$8,FALSE))</f>
        <v/>
      </c>
      <c r="K100" s="77" t="str">
        <f ca="1">IF(OR($D100="",J100=""),"",VLOOKUP($J100,'Start List'!$D$15:$Y$120,'Match Play Standings'!K$8,FALSE))</f>
        <v/>
      </c>
      <c r="L100" s="79" t="str">
        <f ca="1">IF(OR($D100="",J100=""),"",VLOOKUP($J100,'Start List'!$D$15:$Y$120,'Match Play Standings'!L$8,FALSE))</f>
        <v/>
      </c>
      <c r="M100" s="207" t="str">
        <f ca="1">IF(OR($D100="",J100=""),"",VLOOKUP($J100,'Start List'!$D$15:$Y$120,'Match Play Standings'!M$8,FALSE))</f>
        <v/>
      </c>
      <c r="N100" s="210" t="str">
        <f ca="1">IF(OR($D100="",J100=""),"",VLOOKUP($J100,'Start List'!$D$15:$Y$120,'Match Play Standings'!N$8,FALSE))</f>
        <v/>
      </c>
      <c r="O100" s="210" t="str">
        <f ca="1">IF(OR($D100="",J100=""),"",VLOOKUP($J100,'Start List'!$D$15:$Y$120,'Match Play Standings'!O$8,FALSE))</f>
        <v/>
      </c>
      <c r="P100" s="234" t="str">
        <f t="shared" ca="1" si="12"/>
        <v/>
      </c>
      <c r="Q100" s="79" t="str">
        <f t="shared" ca="1" si="13"/>
        <v/>
      </c>
      <c r="R100" s="79" t="str">
        <f t="shared" ca="1" si="14"/>
        <v/>
      </c>
      <c r="S100" s="79" t="str">
        <f t="shared" ca="1" si="14"/>
        <v/>
      </c>
      <c r="T100" s="79" t="str">
        <f t="shared" ca="1" si="14"/>
        <v/>
      </c>
    </row>
    <row r="101" spans="1:20" ht="12.75" x14ac:dyDescent="0.2">
      <c r="A101" s="59" t="str">
        <f>IF(OR(COUNT('Start List'!A:A)+IF(Data!$AP$6=3,1,IF(Data!$AP$6=2,2,COUNTIF('Start List'!$I$9:$I$14,"&lt;21")))='Match Play Standings'!A100,A100=""),"",'Match Play Standings'!A100+1)</f>
        <v/>
      </c>
      <c r="B101" s="74" t="str">
        <f>IF(A101="","",IF(Data!$AP$6=1,VLOOKUP(SMALL('Start List'!$I$9:$I$139,A101),'Start List'!$I$9:$J$14,2,FALSE),IF(Data!$AP$6=2,'Men-Women'!B101,Data!$AK$2)))</f>
        <v/>
      </c>
      <c r="C101" s="75" t="str">
        <f>IF(OR(B101="",COUNTIF($B$9:B101,B101)=1),"",COUNTIF($B$9:B101,B101)-1)</f>
        <v/>
      </c>
      <c r="D101" s="76" t="str">
        <f ca="1">IF(""=C101,"",LARGE(INDIRECT(VLOOKUP(B101,'Start List'!$J$9:$P$14,Data!$AP$6+4,FALSE)),C101))</f>
        <v/>
      </c>
      <c r="E101" s="77" t="e">
        <f t="shared" si="9"/>
        <v>#N/A</v>
      </c>
      <c r="F101" s="80" t="e">
        <f>"'"&amp;VLOOKUP(B101,Translation!$A$2:$E$72,2,FALSE)&amp;"'!"</f>
        <v>#N/A</v>
      </c>
      <c r="G101" s="80" t="e">
        <f>INDEX(Data!$AJ$49:$AJ$64,MATCH(C101,Data!$AI$49:$AI$64))</f>
        <v>#N/A</v>
      </c>
      <c r="H101" s="80" t="e">
        <f t="shared" si="10"/>
        <v>#N/A</v>
      </c>
      <c r="I101" s="80" t="e">
        <f t="shared" ca="1" si="11"/>
        <v>#N/A</v>
      </c>
      <c r="J101" s="77" t="str">
        <f ca="1">IF(OR(C101&lt;17,C101=""),IF(B101&lt;&gt;B100,B101,IF($D101="","",INDIRECT(H101))),VLOOKUP(D101,'Start List'!$B$15:$D$120,J$8,FALSE))</f>
        <v/>
      </c>
      <c r="K101" s="77" t="str">
        <f ca="1">IF(OR($D101="",J101=""),"",VLOOKUP($J101,'Start List'!$D$15:$Y$120,'Match Play Standings'!K$8,FALSE))</f>
        <v/>
      </c>
      <c r="L101" s="79" t="str">
        <f ca="1">IF(OR($D101="",J101=""),"",VLOOKUP($J101,'Start List'!$D$15:$Y$120,'Match Play Standings'!L$8,FALSE))</f>
        <v/>
      </c>
      <c r="M101" s="207" t="str">
        <f ca="1">IF(OR($D101="",J101=""),"",VLOOKUP($J101,'Start List'!$D$15:$Y$120,'Match Play Standings'!M$8,FALSE))</f>
        <v/>
      </c>
      <c r="N101" s="210" t="str">
        <f ca="1">IF(OR($D101="",J101=""),"",VLOOKUP($J101,'Start List'!$D$15:$Y$120,'Match Play Standings'!N$8,FALSE))</f>
        <v/>
      </c>
      <c r="O101" s="210" t="str">
        <f ca="1">IF(OR($D101="",J101=""),"",VLOOKUP($J101,'Start List'!$D$15:$Y$120,'Match Play Standings'!O$8,FALSE))</f>
        <v/>
      </c>
      <c r="P101" s="234" t="str">
        <f t="shared" ca="1" si="12"/>
        <v/>
      </c>
      <c r="Q101" s="79" t="str">
        <f t="shared" ca="1" si="13"/>
        <v/>
      </c>
      <c r="R101" s="79" t="str">
        <f t="shared" ca="1" si="14"/>
        <v/>
      </c>
      <c r="S101" s="79" t="str">
        <f t="shared" ca="1" si="14"/>
        <v/>
      </c>
      <c r="T101" s="79" t="str">
        <f t="shared" ca="1" si="14"/>
        <v/>
      </c>
    </row>
    <row r="102" spans="1:20" ht="12.75" x14ac:dyDescent="0.2">
      <c r="A102" s="59" t="str">
        <f>IF(OR(COUNT('Start List'!A:A)+IF(Data!$AP$6=3,1,IF(Data!$AP$6=2,2,COUNTIF('Start List'!$I$9:$I$14,"&lt;21")))='Match Play Standings'!A101,A101=""),"",'Match Play Standings'!A101+1)</f>
        <v/>
      </c>
      <c r="B102" s="74" t="str">
        <f>IF(A102="","",IF(Data!$AP$6=1,VLOOKUP(SMALL('Start List'!$I$9:$I$139,A102),'Start List'!$I$9:$J$14,2,FALSE),IF(Data!$AP$6=2,'Men-Women'!B102,Data!$AK$2)))</f>
        <v/>
      </c>
      <c r="C102" s="75" t="str">
        <f>IF(OR(B102="",COUNTIF($B$9:B102,B102)=1),"",COUNTIF($B$9:B102,B102)-1)</f>
        <v/>
      </c>
      <c r="D102" s="76" t="str">
        <f ca="1">IF(""=C102,"",LARGE(INDIRECT(VLOOKUP(B102,'Start List'!$J$9:$P$14,Data!$AP$6+4,FALSE)),C102))</f>
        <v/>
      </c>
      <c r="E102" s="77" t="e">
        <f t="shared" si="9"/>
        <v>#N/A</v>
      </c>
      <c r="F102" s="80" t="e">
        <f>"'"&amp;VLOOKUP(B102,Translation!$A$2:$E$72,2,FALSE)&amp;"'!"</f>
        <v>#N/A</v>
      </c>
      <c r="G102" s="80" t="e">
        <f>INDEX(Data!$AJ$49:$AJ$64,MATCH(C102,Data!$AI$49:$AI$64))</f>
        <v>#N/A</v>
      </c>
      <c r="H102" s="80" t="e">
        <f t="shared" si="10"/>
        <v>#N/A</v>
      </c>
      <c r="I102" s="80" t="e">
        <f t="shared" ca="1" si="11"/>
        <v>#N/A</v>
      </c>
      <c r="J102" s="77" t="str">
        <f ca="1">IF(OR(C102&lt;17,C102=""),IF(B102&lt;&gt;B101,B102,IF($D102="","",INDIRECT(H102))),VLOOKUP(D102,'Start List'!$B$15:$D$120,J$8,FALSE))</f>
        <v/>
      </c>
      <c r="K102" s="77" t="str">
        <f ca="1">IF(OR($D102="",J102=""),"",VLOOKUP($J102,'Start List'!$D$15:$Y$120,'Match Play Standings'!K$8,FALSE))</f>
        <v/>
      </c>
      <c r="L102" s="79" t="str">
        <f ca="1">IF(OR($D102="",J102=""),"",VLOOKUP($J102,'Start List'!$D$15:$Y$120,'Match Play Standings'!L$8,FALSE))</f>
        <v/>
      </c>
      <c r="M102" s="207" t="str">
        <f ca="1">IF(OR($D102="",J102=""),"",VLOOKUP($J102,'Start List'!$D$15:$Y$120,'Match Play Standings'!M$8,FALSE))</f>
        <v/>
      </c>
      <c r="N102" s="210" t="str">
        <f ca="1">IF(OR($D102="",J102=""),"",VLOOKUP($J102,'Start List'!$D$15:$Y$120,'Match Play Standings'!N$8,FALSE))</f>
        <v/>
      </c>
      <c r="O102" s="210" t="str">
        <f ca="1">IF(OR($D102="",J102=""),"",VLOOKUP($J102,'Start List'!$D$15:$Y$120,'Match Play Standings'!O$8,FALSE))</f>
        <v/>
      </c>
      <c r="P102" s="234" t="str">
        <f t="shared" ca="1" si="12"/>
        <v/>
      </c>
      <c r="Q102" s="79" t="str">
        <f t="shared" ca="1" si="13"/>
        <v/>
      </c>
      <c r="R102" s="79" t="str">
        <f t="shared" ca="1" si="14"/>
        <v/>
      </c>
      <c r="S102" s="79" t="str">
        <f t="shared" ca="1" si="14"/>
        <v/>
      </c>
      <c r="T102" s="79" t="str">
        <f t="shared" ca="1" si="14"/>
        <v/>
      </c>
    </row>
    <row r="103" spans="1:20" ht="12.75" x14ac:dyDescent="0.2">
      <c r="A103" s="59" t="str">
        <f>IF(OR(COUNT('Start List'!A:A)+IF(Data!$AP$6=3,1,IF(Data!$AP$6=2,2,COUNTIF('Start List'!$I$9:$I$14,"&lt;21")))='Match Play Standings'!A102,A102=""),"",'Match Play Standings'!A102+1)</f>
        <v/>
      </c>
      <c r="B103" s="74" t="str">
        <f>IF(A103="","",IF(Data!$AP$6=1,VLOOKUP(SMALL('Start List'!$I$9:$I$139,A103),'Start List'!$I$9:$J$14,2,FALSE),IF(Data!$AP$6=2,'Men-Women'!B103,Data!$AK$2)))</f>
        <v/>
      </c>
      <c r="C103" s="75" t="str">
        <f>IF(OR(B103="",COUNTIF($B$9:B103,B103)=1),"",COUNTIF($B$9:B103,B103)-1)</f>
        <v/>
      </c>
      <c r="D103" s="76" t="str">
        <f ca="1">IF(""=C103,"",LARGE(INDIRECT(VLOOKUP(B103,'Start List'!$J$9:$P$14,Data!$AP$6+4,FALSE)),C103))</f>
        <v/>
      </c>
      <c r="E103" s="77" t="e">
        <f t="shared" si="9"/>
        <v>#N/A</v>
      </c>
      <c r="F103" s="80" t="e">
        <f>"'"&amp;VLOOKUP(B103,Translation!$A$2:$E$72,2,FALSE)&amp;"'!"</f>
        <v>#N/A</v>
      </c>
      <c r="G103" s="80" t="e">
        <f>INDEX(Data!$AJ$49:$AJ$64,MATCH(C103,Data!$AI$49:$AI$64))</f>
        <v>#N/A</v>
      </c>
      <c r="H103" s="80" t="e">
        <f t="shared" si="10"/>
        <v>#N/A</v>
      </c>
      <c r="I103" s="80" t="e">
        <f t="shared" ca="1" si="11"/>
        <v>#N/A</v>
      </c>
      <c r="J103" s="77" t="str">
        <f ca="1">IF(OR(C103&lt;17,C103=""),IF(B103&lt;&gt;B102,B103,IF($D103="","",INDIRECT(H103))),VLOOKUP(D103,'Start List'!$B$15:$D$120,J$8,FALSE))</f>
        <v/>
      </c>
      <c r="K103" s="77" t="str">
        <f ca="1">IF(OR($D103="",J103=""),"",VLOOKUP($J103,'Start List'!$D$15:$Y$120,'Match Play Standings'!K$8,FALSE))</f>
        <v/>
      </c>
      <c r="L103" s="79" t="str">
        <f ca="1">IF(OR($D103="",J103=""),"",VLOOKUP($J103,'Start List'!$D$15:$Y$120,'Match Play Standings'!L$8,FALSE))</f>
        <v/>
      </c>
      <c r="M103" s="207" t="str">
        <f ca="1">IF(OR($D103="",J103=""),"",VLOOKUP($J103,'Start List'!$D$15:$Y$120,'Match Play Standings'!M$8,FALSE))</f>
        <v/>
      </c>
      <c r="N103" s="210" t="str">
        <f ca="1">IF(OR($D103="",J103=""),"",VLOOKUP($J103,'Start List'!$D$15:$Y$120,'Match Play Standings'!N$8,FALSE))</f>
        <v/>
      </c>
      <c r="O103" s="210" t="str">
        <f ca="1">IF(OR($D103="",J103=""),"",VLOOKUP($J103,'Start List'!$D$15:$Y$120,'Match Play Standings'!O$8,FALSE))</f>
        <v/>
      </c>
      <c r="P103" s="234" t="str">
        <f t="shared" ca="1" si="12"/>
        <v/>
      </c>
      <c r="Q103" s="79" t="str">
        <f t="shared" ca="1" si="13"/>
        <v/>
      </c>
      <c r="R103" s="79" t="str">
        <f t="shared" ca="1" si="14"/>
        <v/>
      </c>
      <c r="S103" s="79" t="str">
        <f t="shared" ca="1" si="14"/>
        <v/>
      </c>
      <c r="T103" s="79" t="str">
        <f t="shared" ca="1" si="14"/>
        <v/>
      </c>
    </row>
    <row r="104" spans="1:20" ht="12.75" x14ac:dyDescent="0.2">
      <c r="A104" s="59" t="str">
        <f>IF(OR(COUNT('Start List'!A:A)+IF(Data!$AP$6=3,1,IF(Data!$AP$6=2,2,COUNTIF('Start List'!$I$9:$I$14,"&lt;21")))='Match Play Standings'!A103,A103=""),"",'Match Play Standings'!A103+1)</f>
        <v/>
      </c>
      <c r="B104" s="74" t="str">
        <f>IF(A104="","",IF(Data!$AP$6=1,VLOOKUP(SMALL('Start List'!$I$9:$I$139,A104),'Start List'!$I$9:$J$14,2,FALSE),IF(Data!$AP$6=2,'Men-Women'!B104,Data!$AK$2)))</f>
        <v/>
      </c>
      <c r="C104" s="75" t="str">
        <f>IF(OR(B104="",COUNTIF($B$9:B104,B104)=1),"",COUNTIF($B$9:B104,B104)-1)</f>
        <v/>
      </c>
      <c r="D104" s="76" t="str">
        <f ca="1">IF(""=C104,"",LARGE(INDIRECT(VLOOKUP(B104,'Start List'!$J$9:$P$14,Data!$AP$6+4,FALSE)),C104))</f>
        <v/>
      </c>
      <c r="E104" s="77" t="e">
        <f t="shared" si="9"/>
        <v>#N/A</v>
      </c>
      <c r="F104" s="80" t="e">
        <f>"'"&amp;VLOOKUP(B104,Translation!$A$2:$E$72,2,FALSE)&amp;"'!"</f>
        <v>#N/A</v>
      </c>
      <c r="G104" s="80" t="e">
        <f>INDEX(Data!$AJ$49:$AJ$64,MATCH(C104,Data!$AI$49:$AI$64))</f>
        <v>#N/A</v>
      </c>
      <c r="H104" s="80" t="e">
        <f t="shared" si="10"/>
        <v>#N/A</v>
      </c>
      <c r="I104" s="80" t="e">
        <f t="shared" ca="1" si="11"/>
        <v>#N/A</v>
      </c>
      <c r="J104" s="77" t="str">
        <f ca="1">IF(OR(C104&lt;17,C104=""),IF(B104&lt;&gt;B103,B104,IF($D104="","",INDIRECT(H104))),VLOOKUP(D104,'Start List'!$B$15:$D$120,J$8,FALSE))</f>
        <v/>
      </c>
      <c r="K104" s="77" t="str">
        <f ca="1">IF(OR($D104="",J104=""),"",VLOOKUP($J104,'Start List'!$D$15:$Y$120,'Match Play Standings'!K$8,FALSE))</f>
        <v/>
      </c>
      <c r="L104" s="79" t="str">
        <f ca="1">IF(OR($D104="",J104=""),"",VLOOKUP($J104,'Start List'!$D$15:$Y$120,'Match Play Standings'!L$8,FALSE))</f>
        <v/>
      </c>
      <c r="M104" s="207" t="str">
        <f ca="1">IF(OR($D104="",J104=""),"",VLOOKUP($J104,'Start List'!$D$15:$Y$120,'Match Play Standings'!M$8,FALSE))</f>
        <v/>
      </c>
      <c r="N104" s="210" t="str">
        <f ca="1">IF(OR($D104="",J104=""),"",VLOOKUP($J104,'Start List'!$D$15:$Y$120,'Match Play Standings'!N$8,FALSE))</f>
        <v/>
      </c>
      <c r="O104" s="210" t="str">
        <f ca="1">IF(OR($D104="",J104=""),"",VLOOKUP($J104,'Start List'!$D$15:$Y$120,'Match Play Standings'!O$8,FALSE))</f>
        <v/>
      </c>
      <c r="P104" s="234" t="str">
        <f t="shared" ca="1" si="12"/>
        <v/>
      </c>
      <c r="Q104" s="79" t="str">
        <f t="shared" ca="1" si="13"/>
        <v/>
      </c>
      <c r="R104" s="79" t="str">
        <f t="shared" ca="1" si="14"/>
        <v/>
      </c>
      <c r="S104" s="79" t="str">
        <f t="shared" ca="1" si="14"/>
        <v/>
      </c>
      <c r="T104" s="79" t="str">
        <f t="shared" ca="1" si="14"/>
        <v/>
      </c>
    </row>
    <row r="105" spans="1:20" ht="12.75" x14ac:dyDescent="0.2">
      <c r="A105" s="59" t="str">
        <f>IF(OR(COUNT('Start List'!A:A)+IF(Data!$AP$6=3,1,IF(Data!$AP$6=2,2,COUNTIF('Start List'!$I$9:$I$14,"&lt;21")))='Match Play Standings'!A104,A104=""),"",'Match Play Standings'!A104+1)</f>
        <v/>
      </c>
      <c r="B105" s="74" t="str">
        <f>IF(A105="","",IF(Data!$AP$6=1,VLOOKUP(SMALL('Start List'!$I$9:$I$139,A105),'Start List'!$I$9:$J$14,2,FALSE),IF(Data!$AP$6=2,'Men-Women'!B105,Data!$AK$2)))</f>
        <v/>
      </c>
      <c r="C105" s="75" t="str">
        <f>IF(OR(B105="",COUNTIF($B$9:B105,B105)=1),"",COUNTIF($B$9:B105,B105)-1)</f>
        <v/>
      </c>
      <c r="D105" s="76" t="str">
        <f ca="1">IF(""=C105,"",LARGE(INDIRECT(VLOOKUP(B105,'Start List'!$J$9:$P$14,Data!$AP$6+4,FALSE)),C105))</f>
        <v/>
      </c>
      <c r="E105" s="77" t="e">
        <f t="shared" si="9"/>
        <v>#N/A</v>
      </c>
      <c r="F105" s="80" t="e">
        <f>"'"&amp;VLOOKUP(B105,Translation!$A$2:$E$72,2,FALSE)&amp;"'!"</f>
        <v>#N/A</v>
      </c>
      <c r="G105" s="80" t="e">
        <f>INDEX(Data!$AJ$49:$AJ$64,MATCH(C105,Data!$AI$49:$AI$64))</f>
        <v>#N/A</v>
      </c>
      <c r="H105" s="80" t="e">
        <f t="shared" si="10"/>
        <v>#N/A</v>
      </c>
      <c r="I105" s="80" t="e">
        <f t="shared" ca="1" si="11"/>
        <v>#N/A</v>
      </c>
      <c r="J105" s="77" t="str">
        <f ca="1">IF(OR(C105&lt;17,C105=""),IF(B105&lt;&gt;B104,B105,IF($D105="","",INDIRECT(H105))),VLOOKUP(D105,'Start List'!$B$15:$D$120,J$8,FALSE))</f>
        <v/>
      </c>
      <c r="K105" s="77" t="str">
        <f ca="1">IF(OR($D105="",J105=""),"",VLOOKUP($J105,'Start List'!$D$15:$Y$120,'Match Play Standings'!K$8,FALSE))</f>
        <v/>
      </c>
      <c r="L105" s="79" t="str">
        <f ca="1">IF(OR($D105="",J105=""),"",VLOOKUP($J105,'Start List'!$D$15:$Y$120,'Match Play Standings'!L$8,FALSE))</f>
        <v/>
      </c>
      <c r="M105" s="207" t="str">
        <f ca="1">IF(OR($D105="",J105=""),"",VLOOKUP($J105,'Start List'!$D$15:$Y$120,'Match Play Standings'!M$8,FALSE))</f>
        <v/>
      </c>
      <c r="N105" s="210" t="str">
        <f ca="1">IF(OR($D105="",J105=""),"",VLOOKUP($J105,'Start List'!$D$15:$Y$120,'Match Play Standings'!N$8,FALSE))</f>
        <v/>
      </c>
      <c r="O105" s="210" t="str">
        <f ca="1">IF(OR($D105="",J105=""),"",VLOOKUP($J105,'Start List'!$D$15:$Y$120,'Match Play Standings'!O$8,FALSE))</f>
        <v/>
      </c>
      <c r="P105" s="234" t="str">
        <f t="shared" ca="1" si="12"/>
        <v/>
      </c>
      <c r="Q105" s="79" t="str">
        <f t="shared" ca="1" si="13"/>
        <v/>
      </c>
      <c r="R105" s="79" t="str">
        <f t="shared" ca="1" si="14"/>
        <v/>
      </c>
      <c r="S105" s="79" t="str">
        <f t="shared" ca="1" si="14"/>
        <v/>
      </c>
      <c r="T105" s="79" t="str">
        <f t="shared" ca="1" si="14"/>
        <v/>
      </c>
    </row>
    <row r="106" spans="1:20" ht="12.75" x14ac:dyDescent="0.2">
      <c r="A106" s="59" t="str">
        <f>IF(OR(COUNT('Start List'!A:A)+IF(Data!$AP$6=3,1,IF(Data!$AP$6=2,2,COUNTIF('Start List'!$I$9:$I$14,"&lt;21")))='Match Play Standings'!A105,A105=""),"",'Match Play Standings'!A105+1)</f>
        <v/>
      </c>
      <c r="B106" s="74" t="str">
        <f>IF(A106="","",IF(Data!$AP$6=1,VLOOKUP(SMALL('Start List'!$I$9:$I$139,A106),'Start List'!$I$9:$J$14,2,FALSE),IF(Data!$AP$6=2,'Men-Women'!B106,Data!$AK$2)))</f>
        <v/>
      </c>
      <c r="C106" s="75" t="str">
        <f>IF(OR(B106="",COUNTIF($B$9:B106,B106)=1),"",COUNTIF($B$9:B106,B106)-1)</f>
        <v/>
      </c>
      <c r="D106" s="76" t="str">
        <f ca="1">IF(""=C106,"",LARGE(INDIRECT(VLOOKUP(B106,'Start List'!$J$9:$P$14,Data!$AP$6+4,FALSE)),C106))</f>
        <v/>
      </c>
      <c r="E106" s="77" t="e">
        <f t="shared" si="9"/>
        <v>#N/A</v>
      </c>
      <c r="F106" s="80" t="e">
        <f>"'"&amp;VLOOKUP(B106,Translation!$A$2:$E$72,2,FALSE)&amp;"'!"</f>
        <v>#N/A</v>
      </c>
      <c r="G106" s="80" t="e">
        <f>INDEX(Data!$AJ$49:$AJ$64,MATCH(C106,Data!$AI$49:$AI$64))</f>
        <v>#N/A</v>
      </c>
      <c r="H106" s="80" t="e">
        <f t="shared" si="10"/>
        <v>#N/A</v>
      </c>
      <c r="I106" s="80" t="e">
        <f t="shared" ca="1" si="11"/>
        <v>#N/A</v>
      </c>
      <c r="J106" s="77" t="str">
        <f ca="1">IF(OR(C106&lt;17,C106=""),IF(B106&lt;&gt;B105,B106,IF($D106="","",INDIRECT(H106))),VLOOKUP(D106,'Start List'!$B$15:$D$120,J$8,FALSE))</f>
        <v/>
      </c>
      <c r="K106" s="77" t="str">
        <f ca="1">IF(OR($D106="",J106=""),"",VLOOKUP($J106,'Start List'!$D$15:$Y$120,'Match Play Standings'!K$8,FALSE))</f>
        <v/>
      </c>
      <c r="L106" s="79" t="str">
        <f ca="1">IF(OR($D106="",J106=""),"",VLOOKUP($J106,'Start List'!$D$15:$Y$120,'Match Play Standings'!L$8,FALSE))</f>
        <v/>
      </c>
      <c r="M106" s="207" t="str">
        <f ca="1">IF(OR($D106="",J106=""),"",VLOOKUP($J106,'Start List'!$D$15:$Y$120,'Match Play Standings'!M$8,FALSE))</f>
        <v/>
      </c>
      <c r="N106" s="210" t="str">
        <f ca="1">IF(OR($D106="",J106=""),"",VLOOKUP($J106,'Start List'!$D$15:$Y$120,'Match Play Standings'!N$8,FALSE))</f>
        <v/>
      </c>
      <c r="O106" s="210" t="str">
        <f ca="1">IF(OR($D106="",J106=""),"",VLOOKUP($J106,'Start List'!$D$15:$Y$120,'Match Play Standings'!O$8,FALSE))</f>
        <v/>
      </c>
      <c r="P106" s="234" t="str">
        <f t="shared" ca="1" si="12"/>
        <v/>
      </c>
      <c r="Q106" s="79" t="str">
        <f t="shared" ca="1" si="13"/>
        <v/>
      </c>
      <c r="R106" s="79" t="str">
        <f t="shared" ca="1" si="14"/>
        <v/>
      </c>
      <c r="S106" s="79" t="str">
        <f t="shared" ca="1" si="14"/>
        <v/>
      </c>
      <c r="T106" s="79" t="str">
        <f t="shared" ca="1" si="14"/>
        <v/>
      </c>
    </row>
    <row r="107" spans="1:20" ht="12.75" x14ac:dyDescent="0.2">
      <c r="A107" s="59" t="str">
        <f>IF(OR(COUNT('Start List'!A:A)+IF(Data!$AP$6=3,1,IF(Data!$AP$6=2,2,COUNTIF('Start List'!$I$9:$I$14,"&lt;21")))='Match Play Standings'!A106,A106=""),"",'Match Play Standings'!A106+1)</f>
        <v/>
      </c>
      <c r="B107" s="74" t="str">
        <f>IF(A107="","",IF(Data!$AP$6=1,VLOOKUP(SMALL('Start List'!$I$9:$I$139,A107),'Start List'!$I$9:$J$14,2,FALSE),IF(Data!$AP$6=2,'Men-Women'!B107,Data!$AK$2)))</f>
        <v/>
      </c>
      <c r="C107" s="75" t="str">
        <f>IF(OR(B107="",COUNTIF($B$9:B107,B107)=1),"",COUNTIF($B$9:B107,B107)-1)</f>
        <v/>
      </c>
      <c r="D107" s="76" t="str">
        <f ca="1">IF(""=C107,"",LARGE(INDIRECT(VLOOKUP(B107,'Start List'!$J$9:$P$14,Data!$AP$6+4,FALSE)),C107))</f>
        <v/>
      </c>
      <c r="E107" s="77" t="e">
        <f t="shared" si="9"/>
        <v>#N/A</v>
      </c>
      <c r="F107" s="80" t="e">
        <f>"'"&amp;VLOOKUP(B107,Translation!$A$2:$E$72,2,FALSE)&amp;"'!"</f>
        <v>#N/A</v>
      </c>
      <c r="G107" s="80" t="e">
        <f>INDEX(Data!$AJ$49:$AJ$64,MATCH(C107,Data!$AI$49:$AI$64))</f>
        <v>#N/A</v>
      </c>
      <c r="H107" s="80" t="e">
        <f t="shared" si="10"/>
        <v>#N/A</v>
      </c>
      <c r="I107" s="80" t="e">
        <f t="shared" ca="1" si="11"/>
        <v>#N/A</v>
      </c>
      <c r="J107" s="77" t="str">
        <f ca="1">IF(OR(C107&lt;17,C107=""),IF(B107&lt;&gt;B106,B107,IF($D107="","",INDIRECT(H107))),VLOOKUP(D107,'Start List'!$B$15:$D$120,J$8,FALSE))</f>
        <v/>
      </c>
      <c r="K107" s="77" t="str">
        <f ca="1">IF(OR($D107="",J107=""),"",VLOOKUP($J107,'Start List'!$D$15:$Y$120,'Match Play Standings'!K$8,FALSE))</f>
        <v/>
      </c>
      <c r="L107" s="79" t="str">
        <f ca="1">IF(OR($D107="",J107=""),"",VLOOKUP($J107,'Start List'!$D$15:$Y$120,'Match Play Standings'!L$8,FALSE))</f>
        <v/>
      </c>
      <c r="M107" s="207" t="str">
        <f ca="1">IF(OR($D107="",J107=""),"",VLOOKUP($J107,'Start List'!$D$15:$Y$120,'Match Play Standings'!M$8,FALSE))</f>
        <v/>
      </c>
      <c r="N107" s="210" t="str">
        <f ca="1">IF(OR($D107="",J107=""),"",VLOOKUP($J107,'Start List'!$D$15:$Y$120,'Match Play Standings'!N$8,FALSE))</f>
        <v/>
      </c>
      <c r="O107" s="210" t="str">
        <f ca="1">IF(OR($D107="",J107=""),"",VLOOKUP($J107,'Start List'!$D$15:$Y$120,'Match Play Standings'!O$8,FALSE))</f>
        <v/>
      </c>
      <c r="P107" s="234" t="str">
        <f t="shared" ca="1" si="12"/>
        <v/>
      </c>
      <c r="Q107" s="79" t="str">
        <f t="shared" ref="Q107:Q139" ca="1" si="15">IF(OR($C107="",$J107=""),"",IF($C107&gt;16,"DNQ",IF(VLOOKUP($J107,INDIRECT($E107),Q$8,FALSE)="0:0","Bye",VLOOKUP($J107,INDIRECT($E107),Q$8,FALSE))))</f>
        <v/>
      </c>
      <c r="R107" s="79" t="str">
        <f t="shared" ref="R107:T139" ca="1" si="16">IF(OR($C107="",$J107=""),"",IF($C107&gt;16,"",IF(VLOOKUP($J107,INDIRECT($E107),R$8,FALSE)="0:0","Bye",VLOOKUP($J107,INDIRECT($E107),R$8,FALSE))))</f>
        <v/>
      </c>
      <c r="S107" s="79" t="str">
        <f t="shared" ca="1" si="16"/>
        <v/>
      </c>
      <c r="T107" s="79" t="str">
        <f t="shared" ca="1" si="16"/>
        <v/>
      </c>
    </row>
    <row r="108" spans="1:20" ht="12.75" x14ac:dyDescent="0.2">
      <c r="A108" s="59" t="str">
        <f>IF(OR(COUNT('Start List'!A:A)+IF(Data!$AP$6=3,1,IF(Data!$AP$6=2,2,COUNTIF('Start List'!$I$9:$I$14,"&lt;21")))='Match Play Standings'!A107,A107=""),"",'Match Play Standings'!A107+1)</f>
        <v/>
      </c>
      <c r="B108" s="74" t="str">
        <f>IF(A108="","",IF(Data!$AP$6=1,VLOOKUP(SMALL('Start List'!$I$9:$I$139,A108),'Start List'!$I$9:$J$14,2,FALSE),IF(Data!$AP$6=2,'Men-Women'!B108,Data!$AK$2)))</f>
        <v/>
      </c>
      <c r="C108" s="75" t="str">
        <f>IF(OR(B108="",COUNTIF($B$9:B108,B108)=1),"",COUNTIF($B$9:B108,B108)-1)</f>
        <v/>
      </c>
      <c r="D108" s="76" t="str">
        <f ca="1">IF(""=C108,"",LARGE(INDIRECT(VLOOKUP(B108,'Start List'!$J$9:$P$14,Data!$AP$6+4,FALSE)),C108))</f>
        <v/>
      </c>
      <c r="E108" s="77" t="e">
        <f t="shared" si="9"/>
        <v>#N/A</v>
      </c>
      <c r="F108" s="80" t="e">
        <f>"'"&amp;VLOOKUP(B108,Translation!$A$2:$E$72,2,FALSE)&amp;"'!"</f>
        <v>#N/A</v>
      </c>
      <c r="G108" s="80" t="e">
        <f>INDEX(Data!$AJ$49:$AJ$64,MATCH(C108,Data!$AI$49:$AI$64))</f>
        <v>#N/A</v>
      </c>
      <c r="H108" s="80" t="e">
        <f t="shared" si="10"/>
        <v>#N/A</v>
      </c>
      <c r="I108" s="80" t="e">
        <f t="shared" ca="1" si="11"/>
        <v>#N/A</v>
      </c>
      <c r="J108" s="77" t="str">
        <f ca="1">IF(OR(C108&lt;17,C108=""),IF(B108&lt;&gt;B107,B108,IF($D108="","",INDIRECT(H108))),VLOOKUP(D108,'Start List'!$B$15:$D$120,J$8,FALSE))</f>
        <v/>
      </c>
      <c r="K108" s="77" t="str">
        <f ca="1">IF(OR($D108="",J108=""),"",VLOOKUP($J108,'Start List'!$D$15:$Y$120,'Match Play Standings'!K$8,FALSE))</f>
        <v/>
      </c>
      <c r="L108" s="79" t="str">
        <f ca="1">IF(OR($D108="",J108=""),"",VLOOKUP($J108,'Start List'!$D$15:$Y$120,'Match Play Standings'!L$8,FALSE))</f>
        <v/>
      </c>
      <c r="M108" s="207" t="str">
        <f ca="1">IF(OR($D108="",J108=""),"",VLOOKUP($J108,'Start List'!$D$15:$Y$120,'Match Play Standings'!M$8,FALSE))</f>
        <v/>
      </c>
      <c r="N108" s="210" t="str">
        <f ca="1">IF(OR($D108="",J108=""),"",VLOOKUP($J108,'Start List'!$D$15:$Y$120,'Match Play Standings'!N$8,FALSE))</f>
        <v/>
      </c>
      <c r="O108" s="210" t="str">
        <f ca="1">IF(OR($D108="",J108=""),"",VLOOKUP($J108,'Start List'!$D$15:$Y$120,'Match Play Standings'!O$8,FALSE))</f>
        <v/>
      </c>
      <c r="P108" s="234" t="str">
        <f t="shared" ca="1" si="12"/>
        <v/>
      </c>
      <c r="Q108" s="79" t="str">
        <f t="shared" ca="1" si="15"/>
        <v/>
      </c>
      <c r="R108" s="79" t="str">
        <f t="shared" ca="1" si="16"/>
        <v/>
      </c>
      <c r="S108" s="79" t="str">
        <f t="shared" ca="1" si="16"/>
        <v/>
      </c>
      <c r="T108" s="79" t="str">
        <f t="shared" ca="1" si="16"/>
        <v/>
      </c>
    </row>
    <row r="109" spans="1:20" ht="12.75" x14ac:dyDescent="0.2">
      <c r="A109" s="59" t="str">
        <f>IF(OR(COUNT('Start List'!A:A)+IF(Data!$AP$6=3,1,IF(Data!$AP$6=2,2,COUNTIF('Start List'!$I$9:$I$14,"&lt;21")))='Match Play Standings'!A108,A108=""),"",'Match Play Standings'!A108+1)</f>
        <v/>
      </c>
      <c r="B109" s="74" t="str">
        <f>IF(A109="","",IF(Data!$AP$6=1,VLOOKUP(SMALL('Start List'!$I$9:$I$139,A109),'Start List'!$I$9:$J$14,2,FALSE),IF(Data!$AP$6=2,'Men-Women'!B109,Data!$AK$2)))</f>
        <v/>
      </c>
      <c r="C109" s="75" t="str">
        <f>IF(OR(B109="",COUNTIF($B$9:B109,B109)=1),"",COUNTIF($B$9:B109,B109)-1)</f>
        <v/>
      </c>
      <c r="D109" s="76" t="str">
        <f ca="1">IF(""=C109,"",LARGE(INDIRECT(VLOOKUP(B109,'Start List'!$J$9:$P$14,Data!$AP$6+4,FALSE)),C109))</f>
        <v/>
      </c>
      <c r="E109" s="77" t="e">
        <f t="shared" si="9"/>
        <v>#N/A</v>
      </c>
      <c r="F109" s="80" t="e">
        <f>"'"&amp;VLOOKUP(B109,Translation!$A$2:$E$72,2,FALSE)&amp;"'!"</f>
        <v>#N/A</v>
      </c>
      <c r="G109" s="80" t="e">
        <f>INDEX(Data!$AJ$49:$AJ$64,MATCH(C109,Data!$AI$49:$AI$64))</f>
        <v>#N/A</v>
      </c>
      <c r="H109" s="80" t="e">
        <f t="shared" si="10"/>
        <v>#N/A</v>
      </c>
      <c r="I109" s="80" t="e">
        <f t="shared" ca="1" si="11"/>
        <v>#N/A</v>
      </c>
      <c r="J109" s="77" t="str">
        <f ca="1">IF(OR(C109&lt;17,C109=""),IF(B109&lt;&gt;B108,B109,IF($D109="","",INDIRECT(H109))),VLOOKUP(D109,'Start List'!$B$15:$D$120,J$8,FALSE))</f>
        <v/>
      </c>
      <c r="K109" s="77" t="str">
        <f ca="1">IF(OR($D109="",J109=""),"",VLOOKUP($J109,'Start List'!$D$15:$Y$120,'Match Play Standings'!K$8,FALSE))</f>
        <v/>
      </c>
      <c r="L109" s="79" t="str">
        <f ca="1">IF(OR($D109="",J109=""),"",VLOOKUP($J109,'Start List'!$D$15:$Y$120,'Match Play Standings'!L$8,FALSE))</f>
        <v/>
      </c>
      <c r="M109" s="207" t="str">
        <f ca="1">IF(OR($D109="",J109=""),"",VLOOKUP($J109,'Start List'!$D$15:$Y$120,'Match Play Standings'!M$8,FALSE))</f>
        <v/>
      </c>
      <c r="N109" s="210" t="str">
        <f ca="1">IF(OR($D109="",J109=""),"",VLOOKUP($J109,'Start List'!$D$15:$Y$120,'Match Play Standings'!N$8,FALSE))</f>
        <v/>
      </c>
      <c r="O109" s="210" t="str">
        <f ca="1">IF(OR($D109="",J109=""),"",VLOOKUP($J109,'Start List'!$D$15:$Y$120,'Match Play Standings'!O$8,FALSE))</f>
        <v/>
      </c>
      <c r="P109" s="234" t="str">
        <f t="shared" ca="1" si="12"/>
        <v/>
      </c>
      <c r="Q109" s="79" t="str">
        <f t="shared" ca="1" si="15"/>
        <v/>
      </c>
      <c r="R109" s="79" t="str">
        <f t="shared" ca="1" si="16"/>
        <v/>
      </c>
      <c r="S109" s="79" t="str">
        <f t="shared" ca="1" si="16"/>
        <v/>
      </c>
      <c r="T109" s="79" t="str">
        <f t="shared" ca="1" si="16"/>
        <v/>
      </c>
    </row>
    <row r="110" spans="1:20" ht="12.75" x14ac:dyDescent="0.2">
      <c r="A110" s="59" t="str">
        <f>IF(OR(COUNT('Start List'!A:A)+IF(Data!$AP$6=3,1,IF(Data!$AP$6=2,2,COUNTIF('Start List'!$I$9:$I$14,"&lt;21")))='Match Play Standings'!A109,A109=""),"",'Match Play Standings'!A109+1)</f>
        <v/>
      </c>
      <c r="B110" s="74" t="str">
        <f>IF(A110="","",IF(Data!$AP$6=1,VLOOKUP(SMALL('Start List'!$I$9:$I$139,A110),'Start List'!$I$9:$J$14,2,FALSE),IF(Data!$AP$6=2,'Men-Women'!B110,Data!$AK$2)))</f>
        <v/>
      </c>
      <c r="C110" s="75" t="str">
        <f>IF(OR(B110="",COUNTIF($B$9:B110,B110)=1),"",COUNTIF($B$9:B110,B110)-1)</f>
        <v/>
      </c>
      <c r="D110" s="76" t="str">
        <f ca="1">IF(""=C110,"",LARGE(INDIRECT(VLOOKUP(B110,'Start List'!$J$9:$P$14,Data!$AP$6+4,FALSE)),C110))</f>
        <v/>
      </c>
      <c r="E110" s="77" t="e">
        <f t="shared" si="9"/>
        <v>#N/A</v>
      </c>
      <c r="F110" s="80" t="e">
        <f>"'"&amp;VLOOKUP(B110,Translation!$A$2:$E$72,2,FALSE)&amp;"'!"</f>
        <v>#N/A</v>
      </c>
      <c r="G110" s="80" t="e">
        <f>INDEX(Data!$AJ$49:$AJ$64,MATCH(C110,Data!$AI$49:$AI$64))</f>
        <v>#N/A</v>
      </c>
      <c r="H110" s="80" t="e">
        <f t="shared" si="10"/>
        <v>#N/A</v>
      </c>
      <c r="I110" s="80" t="e">
        <f t="shared" ca="1" si="11"/>
        <v>#N/A</v>
      </c>
      <c r="J110" s="77" t="str">
        <f ca="1">IF(OR(C110&lt;17,C110=""),IF(B110&lt;&gt;B109,B110,IF($D110="","",INDIRECT(H110))),VLOOKUP(D110,'Start List'!$B$15:$D$120,J$8,FALSE))</f>
        <v/>
      </c>
      <c r="K110" s="77" t="str">
        <f ca="1">IF(OR($D110="",J110=""),"",VLOOKUP($J110,'Start List'!$D$15:$Y$120,'Match Play Standings'!K$8,FALSE))</f>
        <v/>
      </c>
      <c r="L110" s="79" t="str">
        <f ca="1">IF(OR($D110="",J110=""),"",VLOOKUP($J110,'Start List'!$D$15:$Y$120,'Match Play Standings'!L$8,FALSE))</f>
        <v/>
      </c>
      <c r="M110" s="207" t="str">
        <f ca="1">IF(OR($D110="",J110=""),"",VLOOKUP($J110,'Start List'!$D$15:$Y$120,'Match Play Standings'!M$8,FALSE))</f>
        <v/>
      </c>
      <c r="N110" s="210" t="str">
        <f ca="1">IF(OR($D110="",J110=""),"",VLOOKUP($J110,'Start List'!$D$15:$Y$120,'Match Play Standings'!N$8,FALSE))</f>
        <v/>
      </c>
      <c r="O110" s="210" t="str">
        <f ca="1">IF(OR($D110="",J110=""),"",VLOOKUP($J110,'Start List'!$D$15:$Y$120,'Match Play Standings'!O$8,FALSE))</f>
        <v/>
      </c>
      <c r="P110" s="234" t="str">
        <f t="shared" ca="1" si="12"/>
        <v/>
      </c>
      <c r="Q110" s="79" t="str">
        <f t="shared" ca="1" si="15"/>
        <v/>
      </c>
      <c r="R110" s="79" t="str">
        <f t="shared" ca="1" si="16"/>
        <v/>
      </c>
      <c r="S110" s="79" t="str">
        <f t="shared" ca="1" si="16"/>
        <v/>
      </c>
      <c r="T110" s="79" t="str">
        <f t="shared" ca="1" si="16"/>
        <v/>
      </c>
    </row>
    <row r="111" spans="1:20" ht="12.75" x14ac:dyDescent="0.2">
      <c r="A111" s="59" t="str">
        <f>IF(OR(COUNT('Start List'!A:A)+IF(Data!$AP$6=3,1,IF(Data!$AP$6=2,2,COUNTIF('Start List'!$I$9:$I$14,"&lt;21")))='Match Play Standings'!A110,A110=""),"",'Match Play Standings'!A110+1)</f>
        <v/>
      </c>
      <c r="B111" s="74" t="str">
        <f>IF(A111="","",IF(Data!$AP$6=1,VLOOKUP(SMALL('Start List'!$I$9:$I$139,A111),'Start List'!$I$9:$J$14,2,FALSE),IF(Data!$AP$6=2,'Men-Women'!B111,Data!$AK$2)))</f>
        <v/>
      </c>
      <c r="C111" s="75" t="str">
        <f>IF(OR(B111="",COUNTIF($B$9:B111,B111)=1),"",COUNTIF($B$9:B111,B111)-1)</f>
        <v/>
      </c>
      <c r="D111" s="76" t="str">
        <f ca="1">IF(""=C111,"",LARGE(INDIRECT(VLOOKUP(B111,'Start List'!$J$9:$P$14,Data!$AP$6+4,FALSE)),C111))</f>
        <v/>
      </c>
      <c r="E111" s="77" t="e">
        <f t="shared" si="9"/>
        <v>#N/A</v>
      </c>
      <c r="F111" s="80" t="e">
        <f>"'"&amp;VLOOKUP(B111,Translation!$A$2:$E$72,2,FALSE)&amp;"'!"</f>
        <v>#N/A</v>
      </c>
      <c r="G111" s="80" t="e">
        <f>INDEX(Data!$AJ$49:$AJ$64,MATCH(C111,Data!$AI$49:$AI$64))</f>
        <v>#N/A</v>
      </c>
      <c r="H111" s="80" t="e">
        <f t="shared" si="10"/>
        <v>#N/A</v>
      </c>
      <c r="I111" s="80" t="e">
        <f t="shared" ca="1" si="11"/>
        <v>#N/A</v>
      </c>
      <c r="J111" s="77" t="str">
        <f ca="1">IF(OR(C111&lt;17,C111=""),IF(B111&lt;&gt;B110,B111,IF($D111="","",INDIRECT(H111))),VLOOKUP(D111,'Start List'!$B$15:$D$120,J$8,FALSE))</f>
        <v/>
      </c>
      <c r="K111" s="77" t="str">
        <f ca="1">IF(OR($D111="",J111=""),"",VLOOKUP($J111,'Start List'!$D$15:$Y$120,'Match Play Standings'!K$8,FALSE))</f>
        <v/>
      </c>
      <c r="L111" s="79" t="str">
        <f ca="1">IF(OR($D111="",J111=""),"",VLOOKUP($J111,'Start List'!$D$15:$Y$120,'Match Play Standings'!L$8,FALSE))</f>
        <v/>
      </c>
      <c r="M111" s="207" t="str">
        <f ca="1">IF(OR($D111="",J111=""),"",VLOOKUP($J111,'Start List'!$D$15:$Y$120,'Match Play Standings'!M$8,FALSE))</f>
        <v/>
      </c>
      <c r="N111" s="210" t="str">
        <f ca="1">IF(OR($D111="",J111=""),"",VLOOKUP($J111,'Start List'!$D$15:$Y$120,'Match Play Standings'!N$8,FALSE))</f>
        <v/>
      </c>
      <c r="O111" s="210" t="str">
        <f ca="1">IF(OR($D111="",J111=""),"",VLOOKUP($J111,'Start List'!$D$15:$Y$120,'Match Play Standings'!O$8,FALSE))</f>
        <v/>
      </c>
      <c r="P111" s="234" t="str">
        <f t="shared" ca="1" si="12"/>
        <v/>
      </c>
      <c r="Q111" s="79" t="str">
        <f t="shared" ca="1" si="15"/>
        <v/>
      </c>
      <c r="R111" s="79" t="str">
        <f t="shared" ca="1" si="16"/>
        <v/>
      </c>
      <c r="S111" s="79" t="str">
        <f t="shared" ca="1" si="16"/>
        <v/>
      </c>
      <c r="T111" s="79" t="str">
        <f t="shared" ca="1" si="16"/>
        <v/>
      </c>
    </row>
    <row r="112" spans="1:20" ht="12.75" x14ac:dyDescent="0.2">
      <c r="A112" s="59" t="str">
        <f>IF(OR(COUNT('Start List'!A:A)+IF(Data!$AP$6=3,1,IF(Data!$AP$6=2,2,COUNTIF('Start List'!$I$9:$I$14,"&lt;21")))='Match Play Standings'!A111,A111=""),"",'Match Play Standings'!A111+1)</f>
        <v/>
      </c>
      <c r="B112" s="74" t="str">
        <f>IF(A112="","",IF(Data!$AP$6=1,VLOOKUP(SMALL('Start List'!$I$9:$I$139,A112),'Start List'!$I$9:$J$14,2,FALSE),IF(Data!$AP$6=2,'Men-Women'!B112,Data!$AK$2)))</f>
        <v/>
      </c>
      <c r="C112" s="75" t="str">
        <f>IF(OR(B112="",COUNTIF($B$9:B112,B112)=1),"",COUNTIF($B$9:B112,B112)-1)</f>
        <v/>
      </c>
      <c r="D112" s="76" t="str">
        <f ca="1">IF(""=C112,"",LARGE(INDIRECT(VLOOKUP(B112,'Start List'!$J$9:$P$14,Data!$AP$6+4,FALSE)),C112))</f>
        <v/>
      </c>
      <c r="E112" s="77" t="e">
        <f t="shared" si="9"/>
        <v>#N/A</v>
      </c>
      <c r="F112" s="80" t="e">
        <f>"'"&amp;VLOOKUP(B112,Translation!$A$2:$E$72,2,FALSE)&amp;"'!"</f>
        <v>#N/A</v>
      </c>
      <c r="G112" s="80" t="e">
        <f>INDEX(Data!$AJ$49:$AJ$64,MATCH(C112,Data!$AI$49:$AI$64))</f>
        <v>#N/A</v>
      </c>
      <c r="H112" s="80" t="e">
        <f t="shared" si="10"/>
        <v>#N/A</v>
      </c>
      <c r="I112" s="80" t="e">
        <f t="shared" ca="1" si="11"/>
        <v>#N/A</v>
      </c>
      <c r="J112" s="77" t="str">
        <f ca="1">IF(OR(C112&lt;17,C112=""),IF(B112&lt;&gt;B111,B112,IF($D112="","",INDIRECT(H112))),VLOOKUP(D112,'Start List'!$B$15:$D$120,J$8,FALSE))</f>
        <v/>
      </c>
      <c r="K112" s="77" t="str">
        <f ca="1">IF(OR($D112="",J112=""),"",VLOOKUP($J112,'Start List'!$D$15:$Y$120,'Match Play Standings'!K$8,FALSE))</f>
        <v/>
      </c>
      <c r="L112" s="79" t="str">
        <f ca="1">IF(OR($D112="",J112=""),"",VLOOKUP($J112,'Start List'!$D$15:$Y$120,'Match Play Standings'!L$8,FALSE))</f>
        <v/>
      </c>
      <c r="M112" s="207" t="str">
        <f ca="1">IF(OR($D112="",J112=""),"",VLOOKUP($J112,'Start List'!$D$15:$Y$120,'Match Play Standings'!M$8,FALSE))</f>
        <v/>
      </c>
      <c r="N112" s="210" t="str">
        <f ca="1">IF(OR($D112="",J112=""),"",VLOOKUP($J112,'Start List'!$D$15:$Y$120,'Match Play Standings'!N$8,FALSE))</f>
        <v/>
      </c>
      <c r="O112" s="210" t="str">
        <f ca="1">IF(OR($D112="",J112=""),"",VLOOKUP($J112,'Start List'!$D$15:$Y$120,'Match Play Standings'!O$8,FALSE))</f>
        <v/>
      </c>
      <c r="P112" s="234" t="str">
        <f t="shared" ca="1" si="12"/>
        <v/>
      </c>
      <c r="Q112" s="79" t="str">
        <f t="shared" ca="1" si="15"/>
        <v/>
      </c>
      <c r="R112" s="79" t="str">
        <f t="shared" ca="1" si="16"/>
        <v/>
      </c>
      <c r="S112" s="79" t="str">
        <f t="shared" ca="1" si="16"/>
        <v/>
      </c>
      <c r="T112" s="79" t="str">
        <f t="shared" ca="1" si="16"/>
        <v/>
      </c>
    </row>
    <row r="113" spans="1:20" ht="12.75" x14ac:dyDescent="0.2">
      <c r="A113" s="59" t="str">
        <f>IF(OR(COUNT('Start List'!A:A)+IF(Data!$AP$6=3,1,IF(Data!$AP$6=2,2,COUNTIF('Start List'!$I$9:$I$14,"&lt;21")))='Match Play Standings'!A112,A112=""),"",'Match Play Standings'!A112+1)</f>
        <v/>
      </c>
      <c r="B113" s="74" t="str">
        <f>IF(A113="","",IF(Data!$AP$6=1,VLOOKUP(SMALL('Start List'!$I$9:$I$139,A113),'Start List'!$I$9:$J$14,2,FALSE),IF(Data!$AP$6=2,'Men-Women'!B113,Data!$AK$2)))</f>
        <v/>
      </c>
      <c r="C113" s="75" t="str">
        <f>IF(OR(B113="",COUNTIF($B$9:B113,B113)=1),"",COUNTIF($B$9:B113,B113)-1)</f>
        <v/>
      </c>
      <c r="D113" s="76" t="str">
        <f ca="1">IF(""=C113,"",LARGE(INDIRECT(VLOOKUP(B113,'Start List'!$J$9:$P$14,Data!$AP$6+4,FALSE)),C113))</f>
        <v/>
      </c>
      <c r="E113" s="77" t="e">
        <f t="shared" si="9"/>
        <v>#N/A</v>
      </c>
      <c r="F113" s="80" t="e">
        <f>"'"&amp;VLOOKUP(B113,Translation!$A$2:$E$72,2,FALSE)&amp;"'!"</f>
        <v>#N/A</v>
      </c>
      <c r="G113" s="80" t="e">
        <f>INDEX(Data!$AJ$49:$AJ$64,MATCH(C113,Data!$AI$49:$AI$64))</f>
        <v>#N/A</v>
      </c>
      <c r="H113" s="80" t="e">
        <f t="shared" si="10"/>
        <v>#N/A</v>
      </c>
      <c r="I113" s="80" t="e">
        <f t="shared" ca="1" si="11"/>
        <v>#N/A</v>
      </c>
      <c r="J113" s="77" t="str">
        <f ca="1">IF(OR(C113&lt;17,C113=""),IF(B113&lt;&gt;B112,B113,IF($D113="","",INDIRECT(H113))),VLOOKUP(D113,'Start List'!$B$15:$D$120,J$8,FALSE))</f>
        <v/>
      </c>
      <c r="K113" s="77" t="str">
        <f ca="1">IF(OR($D113="",J113=""),"",VLOOKUP($J113,'Start List'!$D$15:$Y$120,'Match Play Standings'!K$8,FALSE))</f>
        <v/>
      </c>
      <c r="L113" s="79" t="str">
        <f ca="1">IF(OR($D113="",J113=""),"",VLOOKUP($J113,'Start List'!$D$15:$Y$120,'Match Play Standings'!L$8,FALSE))</f>
        <v/>
      </c>
      <c r="M113" s="207" t="str">
        <f ca="1">IF(OR($D113="",J113=""),"",VLOOKUP($J113,'Start List'!$D$15:$Y$120,'Match Play Standings'!M$8,FALSE))</f>
        <v/>
      </c>
      <c r="N113" s="210" t="str">
        <f ca="1">IF(OR($D113="",J113=""),"",VLOOKUP($J113,'Start List'!$D$15:$Y$120,'Match Play Standings'!N$8,FALSE))</f>
        <v/>
      </c>
      <c r="O113" s="210" t="str">
        <f ca="1">IF(OR($D113="",J113=""),"",VLOOKUP($J113,'Start List'!$D$15:$Y$120,'Match Play Standings'!O$8,FALSE))</f>
        <v/>
      </c>
      <c r="P113" s="234" t="str">
        <f t="shared" ca="1" si="12"/>
        <v/>
      </c>
      <c r="Q113" s="79" t="str">
        <f t="shared" ca="1" si="15"/>
        <v/>
      </c>
      <c r="R113" s="79" t="str">
        <f t="shared" ca="1" si="16"/>
        <v/>
      </c>
      <c r="S113" s="79" t="str">
        <f t="shared" ca="1" si="16"/>
        <v/>
      </c>
      <c r="T113" s="79" t="str">
        <f t="shared" ca="1" si="16"/>
        <v/>
      </c>
    </row>
    <row r="114" spans="1:20" ht="12.75" x14ac:dyDescent="0.2">
      <c r="A114" s="59" t="str">
        <f>IF(OR(COUNT('Start List'!A:A)+IF(Data!$AP$6=3,1,IF(Data!$AP$6=2,2,COUNTIF('Start List'!$I$9:$I$14,"&lt;21")))='Match Play Standings'!A113,A113=""),"",'Match Play Standings'!A113+1)</f>
        <v/>
      </c>
      <c r="B114" s="74" t="str">
        <f>IF(A114="","",IF(Data!$AP$6=1,VLOOKUP(SMALL('Start List'!$I$9:$I$139,A114),'Start List'!$I$9:$J$14,2,FALSE),IF(Data!$AP$6=2,'Men-Women'!B114,Data!$AK$2)))</f>
        <v/>
      </c>
      <c r="C114" s="75" t="str">
        <f>IF(OR(B114="",COUNTIF($B$9:B114,B114)=1),"",COUNTIF($B$9:B114,B114)-1)</f>
        <v/>
      </c>
      <c r="D114" s="76" t="str">
        <f ca="1">IF(""=C114,"",LARGE(INDIRECT(VLOOKUP(B114,'Start List'!$J$9:$P$14,Data!$AP$6+4,FALSE)),C114))</f>
        <v/>
      </c>
      <c r="E114" s="77" t="e">
        <f t="shared" si="9"/>
        <v>#N/A</v>
      </c>
      <c r="F114" s="80" t="e">
        <f>"'"&amp;VLOOKUP(B114,Translation!$A$2:$E$72,2,FALSE)&amp;"'!"</f>
        <v>#N/A</v>
      </c>
      <c r="G114" s="80" t="e">
        <f>INDEX(Data!$AJ$49:$AJ$64,MATCH(C114,Data!$AI$49:$AI$64))</f>
        <v>#N/A</v>
      </c>
      <c r="H114" s="80" t="e">
        <f t="shared" si="10"/>
        <v>#N/A</v>
      </c>
      <c r="I114" s="80" t="e">
        <f t="shared" ca="1" si="11"/>
        <v>#N/A</v>
      </c>
      <c r="J114" s="77" t="str">
        <f ca="1">IF(OR(C114&lt;17,C114=""),IF(B114&lt;&gt;B113,B114,IF($D114="","",INDIRECT(H114))),VLOOKUP(D114,'Start List'!$B$15:$D$120,J$8,FALSE))</f>
        <v/>
      </c>
      <c r="K114" s="77" t="str">
        <f ca="1">IF(OR($D114="",J114=""),"",VLOOKUP($J114,'Start List'!$D$15:$Y$120,'Match Play Standings'!K$8,FALSE))</f>
        <v/>
      </c>
      <c r="L114" s="79" t="str">
        <f ca="1">IF(OR($D114="",J114=""),"",VLOOKUP($J114,'Start List'!$D$15:$Y$120,'Match Play Standings'!L$8,FALSE))</f>
        <v/>
      </c>
      <c r="M114" s="207" t="str">
        <f ca="1">IF(OR($D114="",J114=""),"",VLOOKUP($J114,'Start List'!$D$15:$Y$120,'Match Play Standings'!M$8,FALSE))</f>
        <v/>
      </c>
      <c r="N114" s="210" t="str">
        <f ca="1">IF(OR($D114="",J114=""),"",VLOOKUP($J114,'Start List'!$D$15:$Y$120,'Match Play Standings'!N$8,FALSE))</f>
        <v/>
      </c>
      <c r="O114" s="210" t="str">
        <f ca="1">IF(OR($D114="",J114=""),"",VLOOKUP($J114,'Start List'!$D$15:$Y$120,'Match Play Standings'!O$8,FALSE))</f>
        <v/>
      </c>
      <c r="P114" s="234" t="str">
        <f t="shared" ca="1" si="12"/>
        <v/>
      </c>
      <c r="Q114" s="79" t="str">
        <f t="shared" ca="1" si="15"/>
        <v/>
      </c>
      <c r="R114" s="79" t="str">
        <f t="shared" ca="1" si="16"/>
        <v/>
      </c>
      <c r="S114" s="79" t="str">
        <f t="shared" ca="1" si="16"/>
        <v/>
      </c>
      <c r="T114" s="79" t="str">
        <f t="shared" ca="1" si="16"/>
        <v/>
      </c>
    </row>
    <row r="115" spans="1:20" ht="12.75" x14ac:dyDescent="0.2">
      <c r="A115" s="59" t="str">
        <f>IF(OR(COUNT('Start List'!A:A)+IF(Data!$AP$6=3,1,IF(Data!$AP$6=2,2,COUNTIF('Start List'!$I$9:$I$14,"&lt;21")))='Match Play Standings'!A114,A114=""),"",'Match Play Standings'!A114+1)</f>
        <v/>
      </c>
      <c r="B115" s="74" t="str">
        <f>IF(A115="","",IF(Data!$AP$6=1,VLOOKUP(SMALL('Start List'!$I$9:$I$139,A115),'Start List'!$I$9:$J$14,2,FALSE),IF(Data!$AP$6=2,'Men-Women'!B115,Data!$AK$2)))</f>
        <v/>
      </c>
      <c r="C115" s="75" t="str">
        <f>IF(OR(B115="",COUNTIF($B$9:B115,B115)=1),"",COUNTIF($B$9:B115,B115)-1)</f>
        <v/>
      </c>
      <c r="D115" s="76" t="str">
        <f ca="1">IF(""=C115,"",LARGE(INDIRECT(VLOOKUP(B115,'Start List'!$J$9:$P$14,Data!$AP$6+4,FALSE)),C115))</f>
        <v/>
      </c>
      <c r="E115" s="77" t="e">
        <f t="shared" si="9"/>
        <v>#N/A</v>
      </c>
      <c r="F115" s="80" t="e">
        <f>"'"&amp;VLOOKUP(B115,Translation!$A$2:$E$72,2,FALSE)&amp;"'!"</f>
        <v>#N/A</v>
      </c>
      <c r="G115" s="80" t="e">
        <f>INDEX(Data!$AJ$49:$AJ$64,MATCH(C115,Data!$AI$49:$AI$64))</f>
        <v>#N/A</v>
      </c>
      <c r="H115" s="80" t="e">
        <f t="shared" si="10"/>
        <v>#N/A</v>
      </c>
      <c r="I115" s="80" t="e">
        <f t="shared" ca="1" si="11"/>
        <v>#N/A</v>
      </c>
      <c r="J115" s="77" t="str">
        <f ca="1">IF(OR(C115&lt;17,C115=""),IF(B115&lt;&gt;B114,B115,IF($D115="","",INDIRECT(H115))),VLOOKUP(D115,'Start List'!$B$15:$D$120,J$8,FALSE))</f>
        <v/>
      </c>
      <c r="K115" s="77" t="str">
        <f ca="1">IF(OR($D115="",J115=""),"",VLOOKUP($J115,'Start List'!$D$15:$Y$120,'Match Play Standings'!K$8,FALSE))</f>
        <v/>
      </c>
      <c r="L115" s="79" t="str">
        <f ca="1">IF(OR($D115="",J115=""),"",VLOOKUP($J115,'Start List'!$D$15:$Y$120,'Match Play Standings'!L$8,FALSE))</f>
        <v/>
      </c>
      <c r="M115" s="207" t="str">
        <f ca="1">IF(OR($D115="",J115=""),"",VLOOKUP($J115,'Start List'!$D$15:$Y$120,'Match Play Standings'!M$8,FALSE))</f>
        <v/>
      </c>
      <c r="N115" s="210" t="str">
        <f ca="1">IF(OR($D115="",J115=""),"",VLOOKUP($J115,'Start List'!$D$15:$Y$120,'Match Play Standings'!N$8,FALSE))</f>
        <v/>
      </c>
      <c r="O115" s="210" t="str">
        <f ca="1">IF(OR($D115="",J115=""),"",VLOOKUP($J115,'Start List'!$D$15:$Y$120,'Match Play Standings'!O$8,FALSE))</f>
        <v/>
      </c>
      <c r="P115" s="234" t="str">
        <f t="shared" ca="1" si="12"/>
        <v/>
      </c>
      <c r="Q115" s="79" t="str">
        <f t="shared" ca="1" si="15"/>
        <v/>
      </c>
      <c r="R115" s="79" t="str">
        <f t="shared" ca="1" si="16"/>
        <v/>
      </c>
      <c r="S115" s="79" t="str">
        <f t="shared" ca="1" si="16"/>
        <v/>
      </c>
      <c r="T115" s="79" t="str">
        <f t="shared" ca="1" si="16"/>
        <v/>
      </c>
    </row>
    <row r="116" spans="1:20" ht="12.75" x14ac:dyDescent="0.2">
      <c r="A116" s="59" t="str">
        <f>IF(OR(COUNT('Start List'!A:A)+IF(Data!$AP$6=3,1,IF(Data!$AP$6=2,2,COUNTIF('Start List'!$I$9:$I$14,"&lt;21")))='Match Play Standings'!A115,A115=""),"",'Match Play Standings'!A115+1)</f>
        <v/>
      </c>
      <c r="B116" s="74" t="str">
        <f>IF(A116="","",IF(Data!$AP$6=1,VLOOKUP(SMALL('Start List'!$I$9:$I$139,A116),'Start List'!$I$9:$J$14,2,FALSE),IF(Data!$AP$6=2,'Men-Women'!B116,Data!$AK$2)))</f>
        <v/>
      </c>
      <c r="C116" s="75" t="str">
        <f>IF(OR(B116="",COUNTIF($B$9:B116,B116)=1),"",COUNTIF($B$9:B116,B116)-1)</f>
        <v/>
      </c>
      <c r="D116" s="76" t="str">
        <f ca="1">IF(""=C116,"",LARGE(INDIRECT(VLOOKUP(B116,'Start List'!$J$9:$P$14,Data!$AP$6+4,FALSE)),C116))</f>
        <v/>
      </c>
      <c r="E116" s="77" t="e">
        <f t="shared" si="9"/>
        <v>#N/A</v>
      </c>
      <c r="F116" s="80" t="e">
        <f>"'"&amp;VLOOKUP(B116,Translation!$A$2:$E$72,2,FALSE)&amp;"'!"</f>
        <v>#N/A</v>
      </c>
      <c r="G116" s="80" t="e">
        <f>INDEX(Data!$AJ$49:$AJ$64,MATCH(C116,Data!$AI$49:$AI$64))</f>
        <v>#N/A</v>
      </c>
      <c r="H116" s="80" t="e">
        <f t="shared" si="10"/>
        <v>#N/A</v>
      </c>
      <c r="I116" s="80" t="e">
        <f t="shared" ca="1" si="11"/>
        <v>#N/A</v>
      </c>
      <c r="J116" s="77" t="str">
        <f ca="1">IF(OR(C116&lt;17,C116=""),IF(B116&lt;&gt;B115,B116,IF($D116="","",INDIRECT(H116))),VLOOKUP(D116,'Start List'!$B$15:$D$120,J$8,FALSE))</f>
        <v/>
      </c>
      <c r="K116" s="77" t="str">
        <f ca="1">IF(OR($D116="",J116=""),"",VLOOKUP($J116,'Start List'!$D$15:$Y$120,'Match Play Standings'!K$8,FALSE))</f>
        <v/>
      </c>
      <c r="L116" s="79" t="str">
        <f ca="1">IF(OR($D116="",J116=""),"",VLOOKUP($J116,'Start List'!$D$15:$Y$120,'Match Play Standings'!L$8,FALSE))</f>
        <v/>
      </c>
      <c r="M116" s="207" t="str">
        <f ca="1">IF(OR($D116="",J116=""),"",VLOOKUP($J116,'Start List'!$D$15:$Y$120,'Match Play Standings'!M$8,FALSE))</f>
        <v/>
      </c>
      <c r="N116" s="210" t="str">
        <f ca="1">IF(OR($D116="",J116=""),"",VLOOKUP($J116,'Start List'!$D$15:$Y$120,'Match Play Standings'!N$8,FALSE))</f>
        <v/>
      </c>
      <c r="O116" s="210" t="str">
        <f ca="1">IF(OR($D116="",J116=""),"",VLOOKUP($J116,'Start List'!$D$15:$Y$120,'Match Play Standings'!O$8,FALSE))</f>
        <v/>
      </c>
      <c r="P116" s="234" t="str">
        <f t="shared" ca="1" si="12"/>
        <v/>
      </c>
      <c r="Q116" s="79" t="str">
        <f t="shared" ca="1" si="15"/>
        <v/>
      </c>
      <c r="R116" s="79" t="str">
        <f t="shared" ca="1" si="16"/>
        <v/>
      </c>
      <c r="S116" s="79" t="str">
        <f t="shared" ca="1" si="16"/>
        <v/>
      </c>
      <c r="T116" s="79" t="str">
        <f t="shared" ca="1" si="16"/>
        <v/>
      </c>
    </row>
    <row r="117" spans="1:20" ht="12.75" x14ac:dyDescent="0.2">
      <c r="A117" s="59" t="str">
        <f>IF(OR(COUNT('Start List'!A:A)+IF(Data!$AP$6=3,1,IF(Data!$AP$6=2,2,COUNTIF('Start List'!$I$9:$I$14,"&lt;21")))='Match Play Standings'!A116,A116=""),"",'Match Play Standings'!A116+1)</f>
        <v/>
      </c>
      <c r="B117" s="74" t="str">
        <f>IF(A117="","",IF(Data!$AP$6=1,VLOOKUP(SMALL('Start List'!$I$9:$I$139,A117),'Start List'!$I$9:$J$14,2,FALSE),IF(Data!$AP$6=2,'Men-Women'!B117,Data!$AK$2)))</f>
        <v/>
      </c>
      <c r="C117" s="75" t="str">
        <f>IF(OR(B117="",COUNTIF($B$9:B117,B117)=1),"",COUNTIF($B$9:B117,B117)-1)</f>
        <v/>
      </c>
      <c r="D117" s="76" t="str">
        <f ca="1">IF(""=C117,"",LARGE(INDIRECT(VLOOKUP(B117,'Start List'!$J$9:$P$14,Data!$AP$6+4,FALSE)),C117))</f>
        <v/>
      </c>
      <c r="E117" s="77" t="e">
        <f t="shared" si="9"/>
        <v>#N/A</v>
      </c>
      <c r="F117" s="80" t="e">
        <f>"'"&amp;VLOOKUP(B117,Translation!$A$2:$E$72,2,FALSE)&amp;"'!"</f>
        <v>#N/A</v>
      </c>
      <c r="G117" s="80" t="e">
        <f>INDEX(Data!$AJ$49:$AJ$64,MATCH(C117,Data!$AI$49:$AI$64))</f>
        <v>#N/A</v>
      </c>
      <c r="H117" s="80" t="e">
        <f t="shared" si="10"/>
        <v>#N/A</v>
      </c>
      <c r="I117" s="80" t="e">
        <f t="shared" ca="1" si="11"/>
        <v>#N/A</v>
      </c>
      <c r="J117" s="77" t="str">
        <f ca="1">IF(OR(C117&lt;17,C117=""),IF(B117&lt;&gt;B116,B117,IF($D117="","",INDIRECT(H117))),VLOOKUP(D117,'Start List'!$B$15:$D$120,J$8,FALSE))</f>
        <v/>
      </c>
      <c r="K117" s="77" t="str">
        <f ca="1">IF(OR($D117="",J117=""),"",VLOOKUP($J117,'Start List'!$D$15:$Y$120,'Match Play Standings'!K$8,FALSE))</f>
        <v/>
      </c>
      <c r="L117" s="79" t="str">
        <f ca="1">IF(OR($D117="",J117=""),"",VLOOKUP($J117,'Start List'!$D$15:$Y$120,'Match Play Standings'!L$8,FALSE))</f>
        <v/>
      </c>
      <c r="M117" s="207" t="str">
        <f ca="1">IF(OR($D117="",J117=""),"",VLOOKUP($J117,'Start List'!$D$15:$Y$120,'Match Play Standings'!M$8,FALSE))</f>
        <v/>
      </c>
      <c r="N117" s="210" t="str">
        <f ca="1">IF(OR($D117="",J117=""),"",VLOOKUP($J117,'Start List'!$D$15:$Y$120,'Match Play Standings'!N$8,FALSE))</f>
        <v/>
      </c>
      <c r="O117" s="210" t="str">
        <f ca="1">IF(OR($D117="",J117=""),"",VLOOKUP($J117,'Start List'!$D$15:$Y$120,'Match Play Standings'!O$8,FALSE))</f>
        <v/>
      </c>
      <c r="P117" s="234" t="str">
        <f t="shared" ca="1" si="12"/>
        <v/>
      </c>
      <c r="Q117" s="79" t="str">
        <f t="shared" ca="1" si="15"/>
        <v/>
      </c>
      <c r="R117" s="79" t="str">
        <f t="shared" ca="1" si="16"/>
        <v/>
      </c>
      <c r="S117" s="79" t="str">
        <f t="shared" ca="1" si="16"/>
        <v/>
      </c>
      <c r="T117" s="79" t="str">
        <f t="shared" ca="1" si="16"/>
        <v/>
      </c>
    </row>
    <row r="118" spans="1:20" ht="12.75" x14ac:dyDescent="0.2">
      <c r="A118" s="59" t="str">
        <f>IF(OR(COUNT('Start List'!A:A)+IF(Data!$AP$6=3,1,IF(Data!$AP$6=2,2,COUNTIF('Start List'!$I$9:$I$14,"&lt;21")))='Match Play Standings'!A117,A117=""),"",'Match Play Standings'!A117+1)</f>
        <v/>
      </c>
      <c r="B118" s="74" t="str">
        <f>IF(A118="","",IF(Data!$AP$6=1,VLOOKUP(SMALL('Start List'!$I$9:$I$139,A118),'Start List'!$I$9:$J$14,2,FALSE),IF(Data!$AP$6=2,'Men-Women'!B118,Data!$AK$2)))</f>
        <v/>
      </c>
      <c r="C118" s="75" t="str">
        <f>IF(OR(B118="",COUNTIF($B$9:B118,B118)=1),"",COUNTIF($B$9:B118,B118)-1)</f>
        <v/>
      </c>
      <c r="D118" s="76" t="str">
        <f ca="1">IF(""=C118,"",LARGE(INDIRECT(VLOOKUP(B118,'Start List'!$J$9:$P$14,Data!$AP$6+4,FALSE)),C118))</f>
        <v/>
      </c>
      <c r="E118" s="77" t="e">
        <f t="shared" si="9"/>
        <v>#N/A</v>
      </c>
      <c r="F118" s="80" t="e">
        <f>"'"&amp;VLOOKUP(B118,Translation!$A$2:$E$72,2,FALSE)&amp;"'!"</f>
        <v>#N/A</v>
      </c>
      <c r="G118" s="80" t="e">
        <f>INDEX(Data!$AJ$49:$AJ$64,MATCH(C118,Data!$AI$49:$AI$64))</f>
        <v>#N/A</v>
      </c>
      <c r="H118" s="80" t="e">
        <f t="shared" si="10"/>
        <v>#N/A</v>
      </c>
      <c r="I118" s="80" t="e">
        <f t="shared" ca="1" si="11"/>
        <v>#N/A</v>
      </c>
      <c r="J118" s="77" t="str">
        <f ca="1">IF(OR(C118&lt;17,C118=""),IF(B118&lt;&gt;B117,B118,IF($D118="","",INDIRECT(H118))),VLOOKUP(D118,'Start List'!$B$15:$D$120,J$8,FALSE))</f>
        <v/>
      </c>
      <c r="K118" s="77" t="str">
        <f ca="1">IF(OR($D118="",J118=""),"",VLOOKUP($J118,'Start List'!$D$15:$Y$120,'Match Play Standings'!K$8,FALSE))</f>
        <v/>
      </c>
      <c r="L118" s="79" t="str">
        <f ca="1">IF(OR($D118="",J118=""),"",VLOOKUP($J118,'Start List'!$D$15:$Y$120,'Match Play Standings'!L$8,FALSE))</f>
        <v/>
      </c>
      <c r="M118" s="207" t="str">
        <f ca="1">IF(OR($D118="",J118=""),"",VLOOKUP($J118,'Start List'!$D$15:$Y$120,'Match Play Standings'!M$8,FALSE))</f>
        <v/>
      </c>
      <c r="N118" s="210" t="str">
        <f ca="1">IF(OR($D118="",J118=""),"",VLOOKUP($J118,'Start List'!$D$15:$Y$120,'Match Play Standings'!N$8,FALSE))</f>
        <v/>
      </c>
      <c r="O118" s="210" t="str">
        <f ca="1">IF(OR($D118="",J118=""),"",VLOOKUP($J118,'Start List'!$D$15:$Y$120,'Match Play Standings'!O$8,FALSE))</f>
        <v/>
      </c>
      <c r="P118" s="234" t="str">
        <f t="shared" ca="1" si="12"/>
        <v/>
      </c>
      <c r="Q118" s="79" t="str">
        <f t="shared" ca="1" si="15"/>
        <v/>
      </c>
      <c r="R118" s="79" t="str">
        <f t="shared" ca="1" si="16"/>
        <v/>
      </c>
      <c r="S118" s="79" t="str">
        <f t="shared" ca="1" si="16"/>
        <v/>
      </c>
      <c r="T118" s="79" t="str">
        <f t="shared" ca="1" si="16"/>
        <v/>
      </c>
    </row>
    <row r="119" spans="1:20" ht="12.75" x14ac:dyDescent="0.2">
      <c r="A119" s="59" t="str">
        <f>IF(OR(COUNT('Start List'!A:A)+IF(Data!$AP$6=3,1,IF(Data!$AP$6=2,2,COUNTIF('Start List'!$I$9:$I$14,"&lt;21")))='Match Play Standings'!A118,A118=""),"",'Match Play Standings'!A118+1)</f>
        <v/>
      </c>
      <c r="B119" s="74" t="str">
        <f>IF(A119="","",IF(Data!$AP$6=1,VLOOKUP(SMALL('Start List'!$I$9:$I$139,A119),'Start List'!$I$9:$J$14,2,FALSE),IF(Data!$AP$6=2,'Men-Women'!B119,Data!$AK$2)))</f>
        <v/>
      </c>
      <c r="C119" s="75" t="str">
        <f>IF(OR(B119="",COUNTIF($B$9:B119,B119)=1),"",COUNTIF($B$9:B119,B119)-1)</f>
        <v/>
      </c>
      <c r="D119" s="76" t="str">
        <f ca="1">IF(""=C119,"",LARGE(INDIRECT(VLOOKUP(B119,'Start List'!$J$9:$P$14,Data!$AP$6+4,FALSE)),C119))</f>
        <v/>
      </c>
      <c r="E119" s="77" t="e">
        <f t="shared" si="9"/>
        <v>#N/A</v>
      </c>
      <c r="F119" s="80" t="e">
        <f>"'"&amp;VLOOKUP(B119,Translation!$A$2:$E$72,2,FALSE)&amp;"'!"</f>
        <v>#N/A</v>
      </c>
      <c r="G119" s="80" t="e">
        <f>INDEX(Data!$AJ$49:$AJ$64,MATCH(C119,Data!$AI$49:$AI$64))</f>
        <v>#N/A</v>
      </c>
      <c r="H119" s="80" t="e">
        <f t="shared" si="10"/>
        <v>#N/A</v>
      </c>
      <c r="I119" s="80" t="e">
        <f t="shared" ca="1" si="11"/>
        <v>#N/A</v>
      </c>
      <c r="J119" s="77" t="str">
        <f ca="1">IF(OR(C119&lt;17,C119=""),IF(B119&lt;&gt;B118,B119,IF($D119="","",INDIRECT(H119))),VLOOKUP(D119,'Start List'!$B$15:$D$120,J$8,FALSE))</f>
        <v/>
      </c>
      <c r="K119" s="77" t="str">
        <f ca="1">IF(OR($D119="",J119=""),"",VLOOKUP($J119,'Start List'!$D$15:$Y$120,'Match Play Standings'!K$8,FALSE))</f>
        <v/>
      </c>
      <c r="L119" s="79" t="str">
        <f ca="1">IF(OR($D119="",J119=""),"",VLOOKUP($J119,'Start List'!$D$15:$Y$120,'Match Play Standings'!L$8,FALSE))</f>
        <v/>
      </c>
      <c r="M119" s="207" t="str">
        <f ca="1">IF(OR($D119="",J119=""),"",VLOOKUP($J119,'Start List'!$D$15:$Y$120,'Match Play Standings'!M$8,FALSE))</f>
        <v/>
      </c>
      <c r="N119" s="210" t="str">
        <f ca="1">IF(OR($D119="",J119=""),"",VLOOKUP($J119,'Start List'!$D$15:$Y$120,'Match Play Standings'!N$8,FALSE))</f>
        <v/>
      </c>
      <c r="O119" s="210" t="str">
        <f ca="1">IF(OR($D119="",J119=""),"",VLOOKUP($J119,'Start List'!$D$15:$Y$120,'Match Play Standings'!O$8,FALSE))</f>
        <v/>
      </c>
      <c r="P119" s="234" t="str">
        <f t="shared" ca="1" si="12"/>
        <v/>
      </c>
      <c r="Q119" s="79" t="str">
        <f t="shared" ca="1" si="15"/>
        <v/>
      </c>
      <c r="R119" s="79" t="str">
        <f t="shared" ca="1" si="16"/>
        <v/>
      </c>
      <c r="S119" s="79" t="str">
        <f t="shared" ca="1" si="16"/>
        <v/>
      </c>
      <c r="T119" s="79" t="str">
        <f t="shared" ca="1" si="16"/>
        <v/>
      </c>
    </row>
    <row r="120" spans="1:20" ht="12.75" x14ac:dyDescent="0.2">
      <c r="A120" s="59" t="str">
        <f>IF(OR(COUNT('Start List'!A:A)+IF(Data!$AP$6=3,1,IF(Data!$AP$6=2,2,COUNTIF('Start List'!$I$9:$I$14,"&lt;21")))='Match Play Standings'!A119,A119=""),"",'Match Play Standings'!A119+1)</f>
        <v/>
      </c>
      <c r="B120" s="74" t="str">
        <f>IF(A120="","",IF(Data!$AP$6=1,VLOOKUP(SMALL('Start List'!$I$9:$I$139,A120),'Start List'!$I$9:$J$14,2,FALSE),IF(Data!$AP$6=2,'Men-Women'!B120,Data!$AK$2)))</f>
        <v/>
      </c>
      <c r="C120" s="75" t="str">
        <f>IF(OR(B120="",COUNTIF($B$9:B120,B120)=1),"",COUNTIF($B$9:B120,B120)-1)</f>
        <v/>
      </c>
      <c r="D120" s="76" t="str">
        <f ca="1">IF(""=C120,"",LARGE(INDIRECT(VLOOKUP(B120,'Start List'!$J$9:$P$14,Data!$AP$6+4,FALSE)),C120))</f>
        <v/>
      </c>
      <c r="E120" s="77" t="e">
        <f t="shared" si="9"/>
        <v>#N/A</v>
      </c>
      <c r="F120" s="80" t="e">
        <f>"'"&amp;VLOOKUP(B120,Translation!$A$2:$E$72,2,FALSE)&amp;"'!"</f>
        <v>#N/A</v>
      </c>
      <c r="G120" s="80" t="e">
        <f>INDEX(Data!$AJ$49:$AJ$64,MATCH(C120,Data!$AI$49:$AI$64))</f>
        <v>#N/A</v>
      </c>
      <c r="H120" s="80" t="e">
        <f t="shared" si="10"/>
        <v>#N/A</v>
      </c>
      <c r="I120" s="80" t="e">
        <f t="shared" ca="1" si="11"/>
        <v>#N/A</v>
      </c>
      <c r="J120" s="77" t="str">
        <f ca="1">IF(OR(C120&lt;17,C120=""),IF(B120&lt;&gt;B119,B120,IF($D120="","",INDIRECT(H120))),VLOOKUP(D120,'Start List'!$B$15:$D$120,J$8,FALSE))</f>
        <v/>
      </c>
      <c r="K120" s="77" t="str">
        <f ca="1">IF(OR($D120="",J120=""),"",VLOOKUP($J120,'Start List'!$D$15:$Y$120,'Match Play Standings'!K$8,FALSE))</f>
        <v/>
      </c>
      <c r="L120" s="79" t="str">
        <f ca="1">IF(OR($D120="",J120=""),"",VLOOKUP($J120,'Start List'!$D$15:$Y$120,'Match Play Standings'!L$8,FALSE))</f>
        <v/>
      </c>
      <c r="M120" s="207" t="str">
        <f ca="1">IF(OR($D120="",J120=""),"",VLOOKUP($J120,'Start List'!$D$15:$Y$120,'Match Play Standings'!M$8,FALSE))</f>
        <v/>
      </c>
      <c r="N120" s="210" t="str">
        <f ca="1">IF(OR($D120="",J120=""),"",VLOOKUP($J120,'Start List'!$D$15:$Y$120,'Match Play Standings'!N$8,FALSE))</f>
        <v/>
      </c>
      <c r="O120" s="210" t="str">
        <f ca="1">IF(OR($D120="",J120=""),"",VLOOKUP($J120,'Start List'!$D$15:$Y$120,'Match Play Standings'!O$8,FALSE))</f>
        <v/>
      </c>
      <c r="P120" s="234" t="str">
        <f t="shared" ca="1" si="12"/>
        <v/>
      </c>
      <c r="Q120" s="79" t="str">
        <f t="shared" ca="1" si="15"/>
        <v/>
      </c>
      <c r="R120" s="79" t="str">
        <f t="shared" ca="1" si="16"/>
        <v/>
      </c>
      <c r="S120" s="79" t="str">
        <f t="shared" ca="1" si="16"/>
        <v/>
      </c>
      <c r="T120" s="79" t="str">
        <f t="shared" ca="1" si="16"/>
        <v/>
      </c>
    </row>
    <row r="121" spans="1:20" ht="12.75" x14ac:dyDescent="0.2">
      <c r="A121" s="59" t="str">
        <f>IF(OR(COUNT('Start List'!A:A)+IF(Data!$AP$6=3,1,IF(Data!$AP$6=2,2,COUNTIF('Start List'!$I$9:$I$14,"&lt;21")))='Match Play Standings'!A120,A120=""),"",'Match Play Standings'!A120+1)</f>
        <v/>
      </c>
      <c r="B121" s="74" t="str">
        <f>IF(A121="","",IF(Data!$AP$6=1,VLOOKUP(SMALL('Start List'!$I$9:$I$139,A121),'Start List'!$I$9:$J$14,2,FALSE),IF(Data!$AP$6=2,'Men-Women'!B121,Data!$AK$2)))</f>
        <v/>
      </c>
      <c r="C121" s="75" t="str">
        <f>IF(OR(B121="",COUNTIF($B$9:B121,B121)=1),"",COUNTIF($B$9:B121,B121)-1)</f>
        <v/>
      </c>
      <c r="D121" s="76" t="str">
        <f ca="1">IF(""=C121,"",LARGE(INDIRECT(VLOOKUP(B121,'Start List'!$J$9:$P$14,Data!$AP$6+4,FALSE)),C121))</f>
        <v/>
      </c>
      <c r="E121" s="77" t="e">
        <f t="shared" si="9"/>
        <v>#N/A</v>
      </c>
      <c r="F121" s="80" t="e">
        <f>"'"&amp;VLOOKUP(B121,Translation!$A$2:$E$72,2,FALSE)&amp;"'!"</f>
        <v>#N/A</v>
      </c>
      <c r="G121" s="80" t="e">
        <f>INDEX(Data!$AJ$49:$AJ$64,MATCH(C121,Data!$AI$49:$AI$64))</f>
        <v>#N/A</v>
      </c>
      <c r="H121" s="80" t="e">
        <f t="shared" si="10"/>
        <v>#N/A</v>
      </c>
      <c r="I121" s="80" t="e">
        <f t="shared" ca="1" si="11"/>
        <v>#N/A</v>
      </c>
      <c r="J121" s="77" t="str">
        <f ca="1">IF(OR(C121&lt;17,C121=""),IF(B121&lt;&gt;B120,B121,IF($D121="","",INDIRECT(H121))),VLOOKUP(D121,'Start List'!$B$15:$D$120,J$8,FALSE))</f>
        <v/>
      </c>
      <c r="K121" s="77" t="str">
        <f ca="1">IF(OR($D121="",J121=""),"",VLOOKUP($J121,'Start List'!$D$15:$Y$120,'Match Play Standings'!K$8,FALSE))</f>
        <v/>
      </c>
      <c r="L121" s="79" t="str">
        <f ca="1">IF(OR($D121="",J121=""),"",VLOOKUP($J121,'Start List'!$D$15:$Y$120,'Match Play Standings'!L$8,FALSE))</f>
        <v/>
      </c>
      <c r="M121" s="207" t="str">
        <f ca="1">IF(OR($D121="",J121=""),"",VLOOKUP($J121,'Start List'!$D$15:$Y$120,'Match Play Standings'!M$8,FALSE))</f>
        <v/>
      </c>
      <c r="N121" s="210" t="str">
        <f ca="1">IF(OR($D121="",J121=""),"",VLOOKUP($J121,'Start List'!$D$15:$Y$120,'Match Play Standings'!N$8,FALSE))</f>
        <v/>
      </c>
      <c r="O121" s="210" t="str">
        <f ca="1">IF(OR($D121="",J121=""),"",VLOOKUP($J121,'Start List'!$D$15:$Y$120,'Match Play Standings'!O$8,FALSE))</f>
        <v/>
      </c>
      <c r="P121" s="234" t="str">
        <f t="shared" ca="1" si="12"/>
        <v/>
      </c>
      <c r="Q121" s="79" t="str">
        <f t="shared" ca="1" si="15"/>
        <v/>
      </c>
      <c r="R121" s="79" t="str">
        <f t="shared" ca="1" si="16"/>
        <v/>
      </c>
      <c r="S121" s="79" t="str">
        <f t="shared" ca="1" si="16"/>
        <v/>
      </c>
      <c r="T121" s="79" t="str">
        <f t="shared" ca="1" si="16"/>
        <v/>
      </c>
    </row>
    <row r="122" spans="1:20" ht="12.75" x14ac:dyDescent="0.2">
      <c r="A122" s="59" t="str">
        <f>IF(OR(COUNT('Start List'!A:A)+IF(Data!$AP$6=3,1,IF(Data!$AP$6=2,2,COUNTIF('Start List'!$I$9:$I$14,"&lt;21")))='Match Play Standings'!A121,A121=""),"",'Match Play Standings'!A121+1)</f>
        <v/>
      </c>
      <c r="B122" s="74" t="str">
        <f>IF(A122="","",IF(Data!$AP$6=1,VLOOKUP(SMALL('Start List'!$I$9:$I$139,A122),'Start List'!$I$9:$J$14,2,FALSE),IF(Data!$AP$6=2,'Men-Women'!B122,Data!$AK$2)))</f>
        <v/>
      </c>
      <c r="C122" s="75" t="str">
        <f>IF(OR(B122="",COUNTIF($B$9:B122,B122)=1),"",COUNTIF($B$9:B122,B122)-1)</f>
        <v/>
      </c>
      <c r="D122" s="76" t="str">
        <f ca="1">IF(""=C122,"",LARGE(INDIRECT(VLOOKUP(B122,'Start List'!$J$9:$P$14,Data!$AP$6+4,FALSE)),C122))</f>
        <v/>
      </c>
      <c r="E122" s="77" t="e">
        <f t="shared" si="9"/>
        <v>#N/A</v>
      </c>
      <c r="F122" s="80" t="e">
        <f>"'"&amp;VLOOKUP(B122,Translation!$A$2:$E$72,2,FALSE)&amp;"'!"</f>
        <v>#N/A</v>
      </c>
      <c r="G122" s="80" t="e">
        <f>INDEX(Data!$AJ$49:$AJ$64,MATCH(C122,Data!$AI$49:$AI$64))</f>
        <v>#N/A</v>
      </c>
      <c r="H122" s="80" t="e">
        <f t="shared" si="10"/>
        <v>#N/A</v>
      </c>
      <c r="I122" s="80" t="e">
        <f t="shared" ca="1" si="11"/>
        <v>#N/A</v>
      </c>
      <c r="J122" s="77" t="str">
        <f ca="1">IF(OR(C122&lt;17,C122=""),IF(B122&lt;&gt;B121,B122,IF($D122="","",INDIRECT(H122))),VLOOKUP(D122,'Start List'!$B$15:$D$120,J$8,FALSE))</f>
        <v/>
      </c>
      <c r="K122" s="77" t="str">
        <f ca="1">IF(OR($D122="",J122=""),"",VLOOKUP($J122,'Start List'!$D$15:$Y$120,'Match Play Standings'!K$8,FALSE))</f>
        <v/>
      </c>
      <c r="L122" s="79" t="str">
        <f ca="1">IF(OR($D122="",J122=""),"",VLOOKUP($J122,'Start List'!$D$15:$Y$120,'Match Play Standings'!L$8,FALSE))</f>
        <v/>
      </c>
      <c r="M122" s="207" t="str">
        <f ca="1">IF(OR($D122="",J122=""),"",VLOOKUP($J122,'Start List'!$D$15:$Y$120,'Match Play Standings'!M$8,FALSE))</f>
        <v/>
      </c>
      <c r="N122" s="210" t="str">
        <f ca="1">IF(OR($D122="",J122=""),"",VLOOKUP($J122,'Start List'!$D$15:$Y$120,'Match Play Standings'!N$8,FALSE))</f>
        <v/>
      </c>
      <c r="O122" s="210" t="str">
        <f ca="1">IF(OR($D122="",J122=""),"",VLOOKUP($J122,'Start List'!$D$15:$Y$120,'Match Play Standings'!O$8,FALSE))</f>
        <v/>
      </c>
      <c r="P122" s="234" t="str">
        <f t="shared" ca="1" si="12"/>
        <v/>
      </c>
      <c r="Q122" s="79" t="str">
        <f t="shared" ca="1" si="15"/>
        <v/>
      </c>
      <c r="R122" s="79" t="str">
        <f t="shared" ca="1" si="16"/>
        <v/>
      </c>
      <c r="S122" s="79" t="str">
        <f t="shared" ca="1" si="16"/>
        <v/>
      </c>
      <c r="T122" s="79" t="str">
        <f t="shared" ca="1" si="16"/>
        <v/>
      </c>
    </row>
    <row r="123" spans="1:20" ht="12.75" x14ac:dyDescent="0.2">
      <c r="A123" s="59" t="str">
        <f>IF(OR(COUNT('Start List'!A:A)+IF(Data!$AP$6=3,1,IF(Data!$AP$6=2,2,COUNTIF('Start List'!$I$9:$I$14,"&lt;21")))='Match Play Standings'!A122,A122=""),"",'Match Play Standings'!A122+1)</f>
        <v/>
      </c>
      <c r="B123" s="74" t="str">
        <f>IF(A123="","",IF(Data!$AP$6=1,VLOOKUP(SMALL('Start List'!$I$9:$I$139,A123),'Start List'!$I$9:$J$14,2,FALSE),IF(Data!$AP$6=2,'Men-Women'!B123,Data!$AK$2)))</f>
        <v/>
      </c>
      <c r="C123" s="75" t="str">
        <f>IF(OR(B123="",COUNTIF($B$9:B123,B123)=1),"",COUNTIF($B$9:B123,B123)-1)</f>
        <v/>
      </c>
      <c r="D123" s="76" t="str">
        <f ca="1">IF(""=C123,"",LARGE(INDIRECT(VLOOKUP(B123,'Start List'!$J$9:$P$14,Data!$AP$6+4,FALSE)),C123))</f>
        <v/>
      </c>
      <c r="E123" s="77" t="e">
        <f t="shared" si="9"/>
        <v>#N/A</v>
      </c>
      <c r="F123" s="80" t="e">
        <f>"'"&amp;VLOOKUP(B123,Translation!$A$2:$E$72,2,FALSE)&amp;"'!"</f>
        <v>#N/A</v>
      </c>
      <c r="G123" s="80" t="e">
        <f>INDEX(Data!$AJ$49:$AJ$64,MATCH(C123,Data!$AI$49:$AI$64))</f>
        <v>#N/A</v>
      </c>
      <c r="H123" s="80" t="e">
        <f t="shared" si="10"/>
        <v>#N/A</v>
      </c>
      <c r="I123" s="80" t="e">
        <f t="shared" ca="1" si="11"/>
        <v>#N/A</v>
      </c>
      <c r="J123" s="77" t="str">
        <f ca="1">IF(OR(C123&lt;17,C123=""),IF(B123&lt;&gt;B122,B123,IF($D123="","",INDIRECT(H123))),VLOOKUP(D123,'Start List'!$B$15:$D$120,J$8,FALSE))</f>
        <v/>
      </c>
      <c r="K123" s="77" t="str">
        <f ca="1">IF(OR($D123="",J123=""),"",VLOOKUP($J123,'Start List'!$D$15:$Y$120,'Match Play Standings'!K$8,FALSE))</f>
        <v/>
      </c>
      <c r="L123" s="79" t="str">
        <f ca="1">IF(OR($D123="",J123=""),"",VLOOKUP($J123,'Start List'!$D$15:$Y$120,'Match Play Standings'!L$8,FALSE))</f>
        <v/>
      </c>
      <c r="M123" s="207" t="str">
        <f ca="1">IF(OR($D123="",J123=""),"",VLOOKUP($J123,'Start List'!$D$15:$Y$120,'Match Play Standings'!M$8,FALSE))</f>
        <v/>
      </c>
      <c r="N123" s="210" t="str">
        <f ca="1">IF(OR($D123="",J123=""),"",VLOOKUP($J123,'Start List'!$D$15:$Y$120,'Match Play Standings'!N$8,FALSE))</f>
        <v/>
      </c>
      <c r="O123" s="210" t="str">
        <f ca="1">IF(OR($D123="",J123=""),"",VLOOKUP($J123,'Start List'!$D$15:$Y$120,'Match Play Standings'!O$8,FALSE))</f>
        <v/>
      </c>
      <c r="P123" s="234" t="str">
        <f t="shared" ca="1" si="12"/>
        <v/>
      </c>
      <c r="Q123" s="79" t="str">
        <f t="shared" ca="1" si="15"/>
        <v/>
      </c>
      <c r="R123" s="79" t="str">
        <f t="shared" ca="1" si="16"/>
        <v/>
      </c>
      <c r="S123" s="79" t="str">
        <f t="shared" ca="1" si="16"/>
        <v/>
      </c>
      <c r="T123" s="79" t="str">
        <f t="shared" ca="1" si="16"/>
        <v/>
      </c>
    </row>
    <row r="124" spans="1:20" ht="12.75" x14ac:dyDescent="0.2">
      <c r="A124" s="59" t="str">
        <f>IF(OR(COUNT('Start List'!A:A)+IF(Data!$AP$6=3,1,IF(Data!$AP$6=2,2,COUNTIF('Start List'!$I$9:$I$14,"&lt;21")))='Match Play Standings'!A123,A123=""),"",'Match Play Standings'!A123+1)</f>
        <v/>
      </c>
      <c r="B124" s="74" t="str">
        <f>IF(A124="","",IF(Data!$AP$6=1,VLOOKUP(SMALL('Start List'!$I$9:$I$139,A124),'Start List'!$I$9:$J$14,2,FALSE),IF(Data!$AP$6=2,'Men-Women'!B124,Data!$AK$2)))</f>
        <v/>
      </c>
      <c r="C124" s="75" t="str">
        <f>IF(OR(B124="",COUNTIF($B$9:B124,B124)=1),"",COUNTIF($B$9:B124,B124)-1)</f>
        <v/>
      </c>
      <c r="D124" s="76" t="str">
        <f ca="1">IF(""=C124,"",LARGE(INDIRECT(VLOOKUP(B124,'Start List'!$J$9:$P$14,Data!$AP$6+4,FALSE)),C124))</f>
        <v/>
      </c>
      <c r="E124" s="77" t="e">
        <f t="shared" si="9"/>
        <v>#N/A</v>
      </c>
      <c r="F124" s="80" t="e">
        <f>"'"&amp;VLOOKUP(B124,Translation!$A$2:$E$72,2,FALSE)&amp;"'!"</f>
        <v>#N/A</v>
      </c>
      <c r="G124" s="80" t="e">
        <f>INDEX(Data!$AJ$49:$AJ$64,MATCH(C124,Data!$AI$49:$AI$64))</f>
        <v>#N/A</v>
      </c>
      <c r="H124" s="80" t="e">
        <f t="shared" si="10"/>
        <v>#N/A</v>
      </c>
      <c r="I124" s="80" t="e">
        <f t="shared" ca="1" si="11"/>
        <v>#N/A</v>
      </c>
      <c r="J124" s="77" t="str">
        <f ca="1">IF(OR(C124&lt;17,C124=""),IF(B124&lt;&gt;B123,B124,IF($D124="","",INDIRECT(H124))),VLOOKUP(D124,'Start List'!$B$15:$D$120,J$8,FALSE))</f>
        <v/>
      </c>
      <c r="K124" s="77" t="str">
        <f ca="1">IF(OR($D124="",J124=""),"",VLOOKUP($J124,'Start List'!$D$15:$Y$120,'Match Play Standings'!K$8,FALSE))</f>
        <v/>
      </c>
      <c r="L124" s="79" t="str">
        <f ca="1">IF(OR($D124="",J124=""),"",VLOOKUP($J124,'Start List'!$D$15:$Y$120,'Match Play Standings'!L$8,FALSE))</f>
        <v/>
      </c>
      <c r="M124" s="207" t="str">
        <f ca="1">IF(OR($D124="",J124=""),"",VLOOKUP($J124,'Start List'!$D$15:$Y$120,'Match Play Standings'!M$8,FALSE))</f>
        <v/>
      </c>
      <c r="N124" s="210" t="str">
        <f ca="1">IF(OR($D124="",J124=""),"",VLOOKUP($J124,'Start List'!$D$15:$Y$120,'Match Play Standings'!N$8,FALSE))</f>
        <v/>
      </c>
      <c r="O124" s="210" t="str">
        <f ca="1">IF(OR($D124="",J124=""),"",VLOOKUP($J124,'Start List'!$D$15:$Y$120,'Match Play Standings'!O$8,FALSE))</f>
        <v/>
      </c>
      <c r="P124" s="234" t="str">
        <f t="shared" ca="1" si="12"/>
        <v/>
      </c>
      <c r="Q124" s="79" t="str">
        <f t="shared" ca="1" si="15"/>
        <v/>
      </c>
      <c r="R124" s="79" t="str">
        <f t="shared" ca="1" si="16"/>
        <v/>
      </c>
      <c r="S124" s="79" t="str">
        <f t="shared" ca="1" si="16"/>
        <v/>
      </c>
      <c r="T124" s="79" t="str">
        <f t="shared" ca="1" si="16"/>
        <v/>
      </c>
    </row>
    <row r="125" spans="1:20" ht="12.75" x14ac:dyDescent="0.2">
      <c r="A125" s="59" t="str">
        <f>IF(OR(COUNT('Start List'!A:A)+IF(Data!$AP$6=3,1,IF(Data!$AP$6=2,2,COUNTIF('Start List'!$I$9:$I$14,"&lt;21")))='Match Play Standings'!A124,A124=""),"",'Match Play Standings'!A124+1)</f>
        <v/>
      </c>
      <c r="B125" s="74" t="str">
        <f>IF(A125="","",IF(Data!$AP$6=1,VLOOKUP(SMALL('Start List'!$I$9:$I$139,A125),'Start List'!$I$9:$J$14,2,FALSE),IF(Data!$AP$6=2,'Men-Women'!B125,Data!$AK$2)))</f>
        <v/>
      </c>
      <c r="C125" s="75" t="str">
        <f>IF(OR(B125="",COUNTIF($B$9:B125,B125)=1),"",COUNTIF($B$9:B125,B125)-1)</f>
        <v/>
      </c>
      <c r="D125" s="76" t="str">
        <f ca="1">IF(""=C125,"",LARGE(INDIRECT(VLOOKUP(B125,'Start List'!$J$9:$P$14,Data!$AP$6+4,FALSE)),C125))</f>
        <v/>
      </c>
      <c r="E125" s="77" t="e">
        <f t="shared" si="9"/>
        <v>#N/A</v>
      </c>
      <c r="F125" s="80" t="e">
        <f>"'"&amp;VLOOKUP(B125,Translation!$A$2:$E$72,2,FALSE)&amp;"'!"</f>
        <v>#N/A</v>
      </c>
      <c r="G125" s="80" t="e">
        <f>INDEX(Data!$AJ$49:$AJ$64,MATCH(C125,Data!$AI$49:$AI$64))</f>
        <v>#N/A</v>
      </c>
      <c r="H125" s="80" t="e">
        <f t="shared" si="10"/>
        <v>#N/A</v>
      </c>
      <c r="I125" s="80" t="e">
        <f t="shared" ca="1" si="11"/>
        <v>#N/A</v>
      </c>
      <c r="J125" s="77" t="str">
        <f ca="1">IF(OR(C125&lt;17,C125=""),IF(B125&lt;&gt;B124,B125,IF($D125="","",INDIRECT(H125))),VLOOKUP(D125,'Start List'!$B$15:$D$120,J$8,FALSE))</f>
        <v/>
      </c>
      <c r="K125" s="77" t="str">
        <f ca="1">IF(OR($D125="",J125=""),"",VLOOKUP($J125,'Start List'!$D$15:$Y$120,'Match Play Standings'!K$8,FALSE))</f>
        <v/>
      </c>
      <c r="L125" s="79" t="str">
        <f ca="1">IF(OR($D125="",J125=""),"",VLOOKUP($J125,'Start List'!$D$15:$Y$120,'Match Play Standings'!L$8,FALSE))</f>
        <v/>
      </c>
      <c r="M125" s="207" t="str">
        <f ca="1">IF(OR($D125="",J125=""),"",VLOOKUP($J125,'Start List'!$D$15:$Y$120,'Match Play Standings'!M$8,FALSE))</f>
        <v/>
      </c>
      <c r="N125" s="210" t="str">
        <f ca="1">IF(OR($D125="",J125=""),"",VLOOKUP($J125,'Start List'!$D$15:$Y$120,'Match Play Standings'!N$8,FALSE))</f>
        <v/>
      </c>
      <c r="O125" s="210" t="str">
        <f ca="1">IF(OR($D125="",J125=""),"",VLOOKUP($J125,'Start List'!$D$15:$Y$120,'Match Play Standings'!O$8,FALSE))</f>
        <v/>
      </c>
      <c r="P125" s="234" t="str">
        <f t="shared" ca="1" si="12"/>
        <v/>
      </c>
      <c r="Q125" s="79" t="str">
        <f t="shared" ca="1" si="15"/>
        <v/>
      </c>
      <c r="R125" s="79" t="str">
        <f t="shared" ca="1" si="16"/>
        <v/>
      </c>
      <c r="S125" s="79" t="str">
        <f t="shared" ca="1" si="16"/>
        <v/>
      </c>
      <c r="T125" s="79" t="str">
        <f t="shared" ca="1" si="16"/>
        <v/>
      </c>
    </row>
    <row r="126" spans="1:20" ht="12.75" x14ac:dyDescent="0.2">
      <c r="A126" s="59" t="str">
        <f>IF(OR(COUNT('Start List'!A:A)+IF(Data!$AP$6=3,1,IF(Data!$AP$6=2,2,COUNTIF('Start List'!$I$9:$I$14,"&lt;21")))='Match Play Standings'!A125,A125=""),"",'Match Play Standings'!A125+1)</f>
        <v/>
      </c>
      <c r="B126" s="74" t="str">
        <f>IF(A126="","",IF(Data!$AP$6=1,VLOOKUP(SMALL('Start List'!$I$9:$I$139,A126),'Start List'!$I$9:$J$14,2,FALSE),IF(Data!$AP$6=2,'Men-Women'!B126,Data!$AK$2)))</f>
        <v/>
      </c>
      <c r="C126" s="75" t="str">
        <f>IF(OR(B126="",COUNTIF($B$9:B126,B126)=1),"",COUNTIF($B$9:B126,B126)-1)</f>
        <v/>
      </c>
      <c r="D126" s="76" t="str">
        <f ca="1">IF(""=C126,"",LARGE(INDIRECT(VLOOKUP(B126,'Start List'!$J$9:$P$14,Data!$AP$6+4,FALSE)),C126))</f>
        <v/>
      </c>
      <c r="E126" s="77" t="e">
        <f t="shared" si="9"/>
        <v>#N/A</v>
      </c>
      <c r="F126" s="80" t="e">
        <f>"'"&amp;VLOOKUP(B126,Translation!$A$2:$E$72,2,FALSE)&amp;"'!"</f>
        <v>#N/A</v>
      </c>
      <c r="G126" s="80" t="e">
        <f>INDEX(Data!$AJ$49:$AJ$64,MATCH(C126,Data!$AI$49:$AI$64))</f>
        <v>#N/A</v>
      </c>
      <c r="H126" s="80" t="e">
        <f t="shared" si="10"/>
        <v>#N/A</v>
      </c>
      <c r="I126" s="80" t="e">
        <f t="shared" ca="1" si="11"/>
        <v>#N/A</v>
      </c>
      <c r="J126" s="77" t="str">
        <f ca="1">IF(OR(C126&lt;17,C126=""),IF(B126&lt;&gt;B125,B126,IF($D126="","",INDIRECT(H126))),VLOOKUP(D126,'Start List'!$B$15:$D$120,J$8,FALSE))</f>
        <v/>
      </c>
      <c r="K126" s="77" t="str">
        <f ca="1">IF(OR($D126="",J126=""),"",VLOOKUP($J126,'Start List'!$D$15:$Y$120,'Match Play Standings'!K$8,FALSE))</f>
        <v/>
      </c>
      <c r="L126" s="79" t="str">
        <f ca="1">IF(OR($D126="",J126=""),"",VLOOKUP($J126,'Start List'!$D$15:$Y$120,'Match Play Standings'!L$8,FALSE))</f>
        <v/>
      </c>
      <c r="M126" s="207" t="str">
        <f ca="1">IF(OR($D126="",J126=""),"",VLOOKUP($J126,'Start List'!$D$15:$Y$120,'Match Play Standings'!M$8,FALSE))</f>
        <v/>
      </c>
      <c r="N126" s="210" t="str">
        <f ca="1">IF(OR($D126="",J126=""),"",VLOOKUP($J126,'Start List'!$D$15:$Y$120,'Match Play Standings'!N$8,FALSE))</f>
        <v/>
      </c>
      <c r="O126" s="210" t="str">
        <f ca="1">IF(OR($D126="",J126=""),"",VLOOKUP($J126,'Start List'!$D$15:$Y$120,'Match Play Standings'!O$8,FALSE))</f>
        <v/>
      </c>
      <c r="P126" s="234" t="str">
        <f t="shared" ca="1" si="12"/>
        <v/>
      </c>
      <c r="Q126" s="79" t="str">
        <f t="shared" ca="1" si="15"/>
        <v/>
      </c>
      <c r="R126" s="79" t="str">
        <f t="shared" ca="1" si="16"/>
        <v/>
      </c>
      <c r="S126" s="79" t="str">
        <f t="shared" ca="1" si="16"/>
        <v/>
      </c>
      <c r="T126" s="79" t="str">
        <f t="shared" ca="1" si="16"/>
        <v/>
      </c>
    </row>
    <row r="127" spans="1:20" ht="12.75" x14ac:dyDescent="0.2">
      <c r="A127" s="59" t="str">
        <f>IF(OR(COUNT('Start List'!A:A)+IF(Data!$AP$6=3,1,IF(Data!$AP$6=2,2,COUNTIF('Start List'!$I$9:$I$14,"&lt;21")))='Match Play Standings'!A126,A126=""),"",'Match Play Standings'!A126+1)</f>
        <v/>
      </c>
      <c r="B127" s="74" t="str">
        <f>IF(A127="","",IF(Data!$AP$6=1,VLOOKUP(SMALL('Start List'!$I$9:$I$139,A127),'Start List'!$I$9:$J$14,2,FALSE),IF(Data!$AP$6=2,'Men-Women'!B127,Data!$AK$2)))</f>
        <v/>
      </c>
      <c r="C127" s="75" t="str">
        <f>IF(OR(B127="",COUNTIF($B$9:B127,B127)=1),"",COUNTIF($B$9:B127,B127)-1)</f>
        <v/>
      </c>
      <c r="D127" s="76" t="str">
        <f ca="1">IF(""=C127,"",LARGE(INDIRECT(VLOOKUP(B127,'Start List'!$J$9:$P$14,Data!$AP$6+4,FALSE)),C127))</f>
        <v/>
      </c>
      <c r="E127" s="77" t="e">
        <f t="shared" si="9"/>
        <v>#N/A</v>
      </c>
      <c r="F127" s="80" t="e">
        <f>"'"&amp;VLOOKUP(B127,Translation!$A$2:$E$72,2,FALSE)&amp;"'!"</f>
        <v>#N/A</v>
      </c>
      <c r="G127" s="80" t="e">
        <f>INDEX(Data!$AJ$49:$AJ$64,MATCH(C127,Data!$AI$49:$AI$64))</f>
        <v>#N/A</v>
      </c>
      <c r="H127" s="80" t="e">
        <f t="shared" si="10"/>
        <v>#N/A</v>
      </c>
      <c r="I127" s="80" t="e">
        <f t="shared" ca="1" si="11"/>
        <v>#N/A</v>
      </c>
      <c r="J127" s="77" t="str">
        <f ca="1">IF(OR(C127&lt;17,C127=""),IF(B127&lt;&gt;B126,B127,IF($D127="","",INDIRECT(H127))),VLOOKUP(D127,'Start List'!$B$15:$D$120,J$8,FALSE))</f>
        <v/>
      </c>
      <c r="K127" s="77" t="str">
        <f ca="1">IF(OR($D127="",J127=""),"",VLOOKUP($J127,'Start List'!$D$15:$Y$120,'Match Play Standings'!K$8,FALSE))</f>
        <v/>
      </c>
      <c r="L127" s="79" t="str">
        <f ca="1">IF(OR($D127="",J127=""),"",VLOOKUP($J127,'Start List'!$D$15:$Y$120,'Match Play Standings'!L$8,FALSE))</f>
        <v/>
      </c>
      <c r="M127" s="207" t="str">
        <f ca="1">IF(OR($D127="",J127=""),"",VLOOKUP($J127,'Start List'!$D$15:$Y$120,'Match Play Standings'!M$8,FALSE))</f>
        <v/>
      </c>
      <c r="N127" s="210" t="str">
        <f ca="1">IF(OR($D127="",J127=""),"",VLOOKUP($J127,'Start List'!$D$15:$Y$120,'Match Play Standings'!N$8,FALSE))</f>
        <v/>
      </c>
      <c r="O127" s="210" t="str">
        <f ca="1">IF(OR($D127="",J127=""),"",VLOOKUP($J127,'Start List'!$D$15:$Y$120,'Match Play Standings'!O$8,FALSE))</f>
        <v/>
      </c>
      <c r="P127" s="234" t="str">
        <f t="shared" ca="1" si="12"/>
        <v/>
      </c>
      <c r="Q127" s="79" t="str">
        <f t="shared" ca="1" si="15"/>
        <v/>
      </c>
      <c r="R127" s="79" t="str">
        <f t="shared" ca="1" si="16"/>
        <v/>
      </c>
      <c r="S127" s="79" t="str">
        <f t="shared" ca="1" si="16"/>
        <v/>
      </c>
      <c r="T127" s="79" t="str">
        <f t="shared" ca="1" si="16"/>
        <v/>
      </c>
    </row>
    <row r="128" spans="1:20" ht="12.75" x14ac:dyDescent="0.2">
      <c r="A128" s="59" t="str">
        <f>IF(OR(COUNT('Start List'!A:A)+IF(Data!$AP$6=3,1,IF(Data!$AP$6=2,2,COUNTIF('Start List'!$I$9:$I$14,"&lt;21")))='Match Play Standings'!A127,A127=""),"",'Match Play Standings'!A127+1)</f>
        <v/>
      </c>
      <c r="B128" s="74" t="str">
        <f>IF(A128="","",IF(Data!$AP$6=1,VLOOKUP(SMALL('Start List'!$I$9:$I$139,A128),'Start List'!$I$9:$J$14,2,FALSE),IF(Data!$AP$6=2,'Men-Women'!B128,Data!$AK$2)))</f>
        <v/>
      </c>
      <c r="C128" s="75" t="str">
        <f>IF(OR(B128="",COUNTIF($B$9:B128,B128)=1),"",COUNTIF($B$9:B128,B128)-1)</f>
        <v/>
      </c>
      <c r="D128" s="76" t="str">
        <f ca="1">IF(""=C128,"",LARGE(INDIRECT(VLOOKUP(B128,'Start List'!$J$9:$P$14,Data!$AP$6+4,FALSE)),C128))</f>
        <v/>
      </c>
      <c r="E128" s="77" t="e">
        <f t="shared" si="9"/>
        <v>#N/A</v>
      </c>
      <c r="F128" s="80" t="e">
        <f>"'"&amp;VLOOKUP(B128,Translation!$A$2:$E$72,2,FALSE)&amp;"'!"</f>
        <v>#N/A</v>
      </c>
      <c r="G128" s="80" t="e">
        <f>INDEX(Data!$AJ$49:$AJ$64,MATCH(C128,Data!$AI$49:$AI$64))</f>
        <v>#N/A</v>
      </c>
      <c r="H128" s="80" t="e">
        <f t="shared" si="10"/>
        <v>#N/A</v>
      </c>
      <c r="I128" s="80" t="e">
        <f t="shared" ca="1" si="11"/>
        <v>#N/A</v>
      </c>
      <c r="J128" s="77" t="str">
        <f ca="1">IF(OR(C128&lt;17,C128=""),IF(B128&lt;&gt;B127,B128,IF($D128="","",INDIRECT(H128))),VLOOKUP(D128,'Start List'!$B$15:$D$120,J$8,FALSE))</f>
        <v/>
      </c>
      <c r="K128" s="77" t="str">
        <f ca="1">IF(OR($D128="",J128=""),"",VLOOKUP($J128,'Start List'!$D$15:$Y$120,'Match Play Standings'!K$8,FALSE))</f>
        <v/>
      </c>
      <c r="L128" s="79" t="str">
        <f ca="1">IF(OR($D128="",J128=""),"",VLOOKUP($J128,'Start List'!$D$15:$Y$120,'Match Play Standings'!L$8,FALSE))</f>
        <v/>
      </c>
      <c r="M128" s="207" t="str">
        <f ca="1">IF(OR($D128="",J128=""),"",VLOOKUP($J128,'Start List'!$D$15:$Y$120,'Match Play Standings'!M$8,FALSE))</f>
        <v/>
      </c>
      <c r="N128" s="210" t="str">
        <f ca="1">IF(OR($D128="",J128=""),"",VLOOKUP($J128,'Start List'!$D$15:$Y$120,'Match Play Standings'!N$8,FALSE))</f>
        <v/>
      </c>
      <c r="O128" s="210" t="str">
        <f ca="1">IF(OR($D128="",J128=""),"",VLOOKUP($J128,'Start List'!$D$15:$Y$120,'Match Play Standings'!O$8,FALSE))</f>
        <v/>
      </c>
      <c r="P128" s="234" t="str">
        <f t="shared" ca="1" si="12"/>
        <v/>
      </c>
      <c r="Q128" s="79" t="str">
        <f t="shared" ca="1" si="15"/>
        <v/>
      </c>
      <c r="R128" s="79" t="str">
        <f t="shared" ca="1" si="16"/>
        <v/>
      </c>
      <c r="S128" s="79" t="str">
        <f t="shared" ca="1" si="16"/>
        <v/>
      </c>
      <c r="T128" s="79" t="str">
        <f t="shared" ca="1" si="16"/>
        <v/>
      </c>
    </row>
    <row r="129" spans="1:20" ht="12.75" x14ac:dyDescent="0.2">
      <c r="A129" s="59" t="str">
        <f>IF(OR(COUNT('Start List'!A:A)+IF(Data!$AP$6=3,1,IF(Data!$AP$6=2,2,COUNTIF('Start List'!$I$9:$I$14,"&lt;21")))='Match Play Standings'!A128,A128=""),"",'Match Play Standings'!A128+1)</f>
        <v/>
      </c>
      <c r="B129" s="74" t="str">
        <f>IF(A129="","",IF(Data!$AP$6=1,VLOOKUP(SMALL('Start List'!$I$9:$I$139,A129),'Start List'!$I$9:$J$14,2,FALSE),IF(Data!$AP$6=2,'Men-Women'!B129,Data!$AK$2)))</f>
        <v/>
      </c>
      <c r="C129" s="75" t="str">
        <f>IF(OR(B129="",COUNTIF($B$9:B129,B129)=1),"",COUNTIF($B$9:B129,B129)-1)</f>
        <v/>
      </c>
      <c r="D129" s="76" t="str">
        <f ca="1">IF(""=C129,"",LARGE(INDIRECT(VLOOKUP(B129,'Start List'!$J$9:$P$14,Data!$AP$6+4,FALSE)),C129))</f>
        <v/>
      </c>
      <c r="E129" s="77" t="e">
        <f t="shared" si="9"/>
        <v>#N/A</v>
      </c>
      <c r="F129" s="80" t="e">
        <f>"'"&amp;VLOOKUP(B129,Translation!$A$2:$E$72,2,FALSE)&amp;"'!"</f>
        <v>#N/A</v>
      </c>
      <c r="G129" s="80" t="e">
        <f>INDEX(Data!$AJ$49:$AJ$64,MATCH(C129,Data!$AI$49:$AI$64))</f>
        <v>#N/A</v>
      </c>
      <c r="H129" s="80" t="e">
        <f t="shared" si="10"/>
        <v>#N/A</v>
      </c>
      <c r="I129" s="80" t="e">
        <f t="shared" ca="1" si="11"/>
        <v>#N/A</v>
      </c>
      <c r="J129" s="77" t="str">
        <f ca="1">IF(OR(C129&lt;17,C129=""),IF(B129&lt;&gt;B128,B129,IF($D129="","",INDIRECT(H129))),VLOOKUP(D129,'Start List'!$B$15:$D$120,J$8,FALSE))</f>
        <v/>
      </c>
      <c r="K129" s="77" t="str">
        <f ca="1">IF(OR($D129="",J129=""),"",VLOOKUP($J129,'Start List'!$D$15:$Y$120,'Match Play Standings'!K$8,FALSE))</f>
        <v/>
      </c>
      <c r="L129" s="79" t="str">
        <f ca="1">IF(OR($D129="",J129=""),"",VLOOKUP($J129,'Start List'!$D$15:$Y$120,'Match Play Standings'!L$8,FALSE))</f>
        <v/>
      </c>
      <c r="M129" s="207" t="str">
        <f ca="1">IF(OR($D129="",J129=""),"",VLOOKUP($J129,'Start List'!$D$15:$Y$120,'Match Play Standings'!M$8,FALSE))</f>
        <v/>
      </c>
      <c r="N129" s="210" t="str">
        <f ca="1">IF(OR($D129="",J129=""),"",VLOOKUP($J129,'Start List'!$D$15:$Y$120,'Match Play Standings'!N$8,FALSE))</f>
        <v/>
      </c>
      <c r="O129" s="210" t="str">
        <f ca="1">IF(OR($D129="",J129=""),"",VLOOKUP($J129,'Start List'!$D$15:$Y$120,'Match Play Standings'!O$8,FALSE))</f>
        <v/>
      </c>
      <c r="P129" s="234" t="str">
        <f t="shared" ca="1" si="12"/>
        <v/>
      </c>
      <c r="Q129" s="79" t="str">
        <f t="shared" ca="1" si="15"/>
        <v/>
      </c>
      <c r="R129" s="79" t="str">
        <f t="shared" ca="1" si="16"/>
        <v/>
      </c>
      <c r="S129" s="79" t="str">
        <f t="shared" ca="1" si="16"/>
        <v/>
      </c>
      <c r="T129" s="79" t="str">
        <f t="shared" ca="1" si="16"/>
        <v/>
      </c>
    </row>
    <row r="130" spans="1:20" ht="12.75" x14ac:dyDescent="0.2">
      <c r="A130" s="59" t="str">
        <f>IF(OR(COUNT('Start List'!A:A)+IF(Data!$AP$6=3,1,IF(Data!$AP$6=2,2,COUNTIF('Start List'!$I$9:$I$14,"&lt;21")))='Match Play Standings'!A129,A129=""),"",'Match Play Standings'!A129+1)</f>
        <v/>
      </c>
      <c r="B130" s="74" t="str">
        <f>IF(A130="","",IF(Data!$AP$6=1,VLOOKUP(SMALL('Start List'!$I$9:$I$139,A130),'Start List'!$I$9:$J$14,2,FALSE),IF(Data!$AP$6=2,'Men-Women'!B130,Data!$AK$2)))</f>
        <v/>
      </c>
      <c r="C130" s="75" t="str">
        <f>IF(OR(B130="",COUNTIF($B$9:B130,B130)=1),"",COUNTIF($B$9:B130,B130)-1)</f>
        <v/>
      </c>
      <c r="D130" s="76" t="str">
        <f ca="1">IF(""=C130,"",LARGE(INDIRECT(VLOOKUP(B130,'Start List'!$J$9:$P$14,Data!$AP$6+4,FALSE)),C130))</f>
        <v/>
      </c>
      <c r="E130" s="77" t="e">
        <f t="shared" si="9"/>
        <v>#N/A</v>
      </c>
      <c r="F130" s="80" t="e">
        <f>"'"&amp;VLOOKUP(B130,Translation!$A$2:$E$72,2,FALSE)&amp;"'!"</f>
        <v>#N/A</v>
      </c>
      <c r="G130" s="80" t="e">
        <f>INDEX(Data!$AJ$49:$AJ$64,MATCH(C130,Data!$AI$49:$AI$64))</f>
        <v>#N/A</v>
      </c>
      <c r="H130" s="80" t="e">
        <f t="shared" si="10"/>
        <v>#N/A</v>
      </c>
      <c r="I130" s="80" t="e">
        <f t="shared" ca="1" si="11"/>
        <v>#N/A</v>
      </c>
      <c r="J130" s="77" t="str">
        <f ca="1">IF(OR(C130&lt;17,C130=""),IF(B130&lt;&gt;B129,B130,IF($D130="","",INDIRECT(H130))),VLOOKUP(D130,'Start List'!$B$15:$D$120,J$8,FALSE))</f>
        <v/>
      </c>
      <c r="K130" s="77" t="str">
        <f ca="1">IF(OR($D130="",J130=""),"",VLOOKUP($J130,'Start List'!$D$15:$Y$120,'Match Play Standings'!K$8,FALSE))</f>
        <v/>
      </c>
      <c r="L130" s="79" t="str">
        <f ca="1">IF(OR($D130="",J130=""),"",VLOOKUP($J130,'Start List'!$D$15:$Y$120,'Match Play Standings'!L$8,FALSE))</f>
        <v/>
      </c>
      <c r="M130" s="207" t="str">
        <f ca="1">IF(OR($D130="",J130=""),"",VLOOKUP($J130,'Start List'!$D$15:$Y$120,'Match Play Standings'!M$8,FALSE))</f>
        <v/>
      </c>
      <c r="N130" s="210" t="str">
        <f ca="1">IF(OR($D130="",J130=""),"",VLOOKUP($J130,'Start List'!$D$15:$Y$120,'Match Play Standings'!N$8,FALSE))</f>
        <v/>
      </c>
      <c r="O130" s="210" t="str">
        <f ca="1">IF(OR($D130="",J130=""),"",VLOOKUP($J130,'Start List'!$D$15:$Y$120,'Match Play Standings'!O$8,FALSE))</f>
        <v/>
      </c>
      <c r="P130" s="234" t="str">
        <f t="shared" ca="1" si="12"/>
        <v/>
      </c>
      <c r="Q130" s="79" t="str">
        <f t="shared" ca="1" si="15"/>
        <v/>
      </c>
      <c r="R130" s="79" t="str">
        <f t="shared" ca="1" si="16"/>
        <v/>
      </c>
      <c r="S130" s="79" t="str">
        <f t="shared" ca="1" si="16"/>
        <v/>
      </c>
      <c r="T130" s="79" t="str">
        <f t="shared" ca="1" si="16"/>
        <v/>
      </c>
    </row>
    <row r="131" spans="1:20" ht="12.75" x14ac:dyDescent="0.2">
      <c r="A131" s="59" t="str">
        <f>IF(OR(COUNT('Start List'!A:A)+IF(Data!$AP$6=3,1,IF(Data!$AP$6=2,2,COUNTIF('Start List'!$I$9:$I$14,"&lt;21")))='Match Play Standings'!A130,A130=""),"",'Match Play Standings'!A130+1)</f>
        <v/>
      </c>
      <c r="B131" s="74" t="str">
        <f>IF(A131="","",IF(Data!$AP$6=1,VLOOKUP(SMALL('Start List'!$I$9:$I$139,A131),'Start List'!$I$9:$J$14,2,FALSE),IF(Data!$AP$6=2,'Men-Women'!B131,Data!$AK$2)))</f>
        <v/>
      </c>
      <c r="C131" s="75" t="str">
        <f>IF(OR(B131="",COUNTIF($B$9:B131,B131)=1),"",COUNTIF($B$9:B131,B131)-1)</f>
        <v/>
      </c>
      <c r="D131" s="76" t="str">
        <f ca="1">IF(""=C131,"",LARGE(INDIRECT(VLOOKUP(B131,'Start List'!$J$9:$P$14,Data!$AP$6+4,FALSE)),C131))</f>
        <v/>
      </c>
      <c r="E131" s="77" t="e">
        <f t="shared" si="9"/>
        <v>#N/A</v>
      </c>
      <c r="F131" s="80" t="e">
        <f>"'"&amp;VLOOKUP(B131,Translation!$A$2:$E$72,2,FALSE)&amp;"'!"</f>
        <v>#N/A</v>
      </c>
      <c r="G131" s="80" t="e">
        <f>INDEX(Data!$AJ$49:$AJ$64,MATCH(C131,Data!$AI$49:$AI$64))</f>
        <v>#N/A</v>
      </c>
      <c r="H131" s="80" t="e">
        <f t="shared" si="10"/>
        <v>#N/A</v>
      </c>
      <c r="I131" s="80" t="e">
        <f t="shared" ca="1" si="11"/>
        <v>#N/A</v>
      </c>
      <c r="J131" s="77" t="str">
        <f ca="1">IF(OR(C131&lt;17,C131=""),IF(B131&lt;&gt;B130,B131,IF($D131="","",INDIRECT(H131))),VLOOKUP(D131,'Start List'!$B$15:$D$120,J$8,FALSE))</f>
        <v/>
      </c>
      <c r="K131" s="77" t="str">
        <f ca="1">IF(OR($D131="",J131=""),"",VLOOKUP($J131,'Start List'!$D$15:$Y$120,'Match Play Standings'!K$8,FALSE))</f>
        <v/>
      </c>
      <c r="L131" s="79" t="str">
        <f ca="1">IF(OR($D131="",J131=""),"",VLOOKUP($J131,'Start List'!$D$15:$Y$120,'Match Play Standings'!L$8,FALSE))</f>
        <v/>
      </c>
      <c r="M131" s="207" t="str">
        <f ca="1">IF(OR($D131="",J131=""),"",VLOOKUP($J131,'Start List'!$D$15:$Y$120,'Match Play Standings'!M$8,FALSE))</f>
        <v/>
      </c>
      <c r="N131" s="210" t="str">
        <f ca="1">IF(OR($D131="",J131=""),"",VLOOKUP($J131,'Start List'!$D$15:$Y$120,'Match Play Standings'!N$8,FALSE))</f>
        <v/>
      </c>
      <c r="O131" s="210" t="str">
        <f ca="1">IF(OR($D131="",J131=""),"",VLOOKUP($J131,'Start List'!$D$15:$Y$120,'Match Play Standings'!O$8,FALSE))</f>
        <v/>
      </c>
      <c r="P131" s="234" t="str">
        <f t="shared" ca="1" si="12"/>
        <v/>
      </c>
      <c r="Q131" s="79" t="str">
        <f t="shared" ca="1" si="15"/>
        <v/>
      </c>
      <c r="R131" s="79" t="str">
        <f t="shared" ca="1" si="16"/>
        <v/>
      </c>
      <c r="S131" s="79" t="str">
        <f t="shared" ca="1" si="16"/>
        <v/>
      </c>
      <c r="T131" s="79" t="str">
        <f t="shared" ca="1" si="16"/>
        <v/>
      </c>
    </row>
    <row r="132" spans="1:20" ht="12.75" x14ac:dyDescent="0.2">
      <c r="A132" s="59" t="str">
        <f>IF(OR(COUNT('Start List'!A:A)+IF(Data!$AP$6=3,1,IF(Data!$AP$6=2,2,COUNTIF('Start List'!$I$9:$I$14,"&lt;21")))='Match Play Standings'!A131,A131=""),"",'Match Play Standings'!A131+1)</f>
        <v/>
      </c>
      <c r="B132" s="74" t="str">
        <f>IF(A132="","",IF(Data!$AP$6=1,VLOOKUP(SMALL('Start List'!$I$9:$I$139,A132),'Start List'!$I$9:$J$14,2,FALSE),IF(Data!$AP$6=2,'Men-Women'!B132,Data!$AK$2)))</f>
        <v/>
      </c>
      <c r="C132" s="75" t="str">
        <f>IF(OR(B132="",COUNTIF($B$9:B132,B132)=1),"",COUNTIF($B$9:B132,B132)-1)</f>
        <v/>
      </c>
      <c r="D132" s="76" t="str">
        <f ca="1">IF(""=C132,"",LARGE(INDIRECT(VLOOKUP(B132,'Start List'!$J$9:$P$14,Data!$AP$6+4,FALSE)),C132))</f>
        <v/>
      </c>
      <c r="E132" s="77" t="e">
        <f t="shared" si="9"/>
        <v>#N/A</v>
      </c>
      <c r="F132" s="80" t="e">
        <f>"'"&amp;VLOOKUP(B132,Translation!$A$2:$E$72,2,FALSE)&amp;"'!"</f>
        <v>#N/A</v>
      </c>
      <c r="G132" s="80" t="e">
        <f>INDEX(Data!$AJ$49:$AJ$64,MATCH(C132,Data!$AI$49:$AI$64))</f>
        <v>#N/A</v>
      </c>
      <c r="H132" s="80" t="e">
        <f t="shared" si="10"/>
        <v>#N/A</v>
      </c>
      <c r="I132" s="80" t="e">
        <f t="shared" ca="1" si="11"/>
        <v>#N/A</v>
      </c>
      <c r="J132" s="77" t="str">
        <f ca="1">IF(OR(C132&lt;17,C132=""),IF(B132&lt;&gt;B131,B132,IF($D132="","",INDIRECT(H132))),VLOOKUP(D132,'Start List'!$B$15:$D$120,J$8,FALSE))</f>
        <v/>
      </c>
      <c r="K132" s="77" t="str">
        <f ca="1">IF(OR($D132="",J132=""),"",VLOOKUP($J132,'Start List'!$D$15:$Y$120,'Match Play Standings'!K$8,FALSE))</f>
        <v/>
      </c>
      <c r="L132" s="79" t="str">
        <f ca="1">IF(OR($D132="",J132=""),"",VLOOKUP($J132,'Start List'!$D$15:$Y$120,'Match Play Standings'!L$8,FALSE))</f>
        <v/>
      </c>
      <c r="M132" s="207" t="str">
        <f ca="1">IF(OR($D132="",J132=""),"",VLOOKUP($J132,'Start List'!$D$15:$Y$120,'Match Play Standings'!M$8,FALSE))</f>
        <v/>
      </c>
      <c r="N132" s="210" t="str">
        <f ca="1">IF(OR($D132="",J132=""),"",VLOOKUP($J132,'Start List'!$D$15:$Y$120,'Match Play Standings'!N$8,FALSE))</f>
        <v/>
      </c>
      <c r="O132" s="210" t="str">
        <f ca="1">IF(OR($D132="",J132=""),"",VLOOKUP($J132,'Start List'!$D$15:$Y$120,'Match Play Standings'!O$8,FALSE))</f>
        <v/>
      </c>
      <c r="P132" s="234" t="str">
        <f t="shared" ca="1" si="12"/>
        <v/>
      </c>
      <c r="Q132" s="79" t="str">
        <f t="shared" ca="1" si="15"/>
        <v/>
      </c>
      <c r="R132" s="79" t="str">
        <f t="shared" ca="1" si="16"/>
        <v/>
      </c>
      <c r="S132" s="79" t="str">
        <f t="shared" ca="1" si="16"/>
        <v/>
      </c>
      <c r="T132" s="79" t="str">
        <f t="shared" ca="1" si="16"/>
        <v/>
      </c>
    </row>
    <row r="133" spans="1:20" ht="12.75" x14ac:dyDescent="0.2">
      <c r="A133" s="59" t="str">
        <f>IF(OR(COUNT('Start List'!A:A)+IF(Data!$AP$6=3,1,IF(Data!$AP$6=2,2,COUNTIF('Start List'!$I$9:$I$14,"&lt;21")))='Match Play Standings'!A132,A132=""),"",'Match Play Standings'!A132+1)</f>
        <v/>
      </c>
      <c r="B133" s="74" t="str">
        <f>IF(A133="","",IF(Data!$AP$6=1,VLOOKUP(SMALL('Start List'!$I$9:$I$139,A133),'Start List'!$I$9:$J$14,2,FALSE),IF(Data!$AP$6=2,'Men-Women'!B133,Data!$AK$2)))</f>
        <v/>
      </c>
      <c r="C133" s="75" t="str">
        <f>IF(OR(B133="",COUNTIF($B$9:B133,B133)=1),"",COUNTIF($B$9:B133,B133)-1)</f>
        <v/>
      </c>
      <c r="D133" s="76" t="str">
        <f ca="1">IF(""=C133,"",LARGE(INDIRECT(VLOOKUP(B133,'Start List'!$J$9:$P$14,Data!$AP$6+4,FALSE)),C133))</f>
        <v/>
      </c>
      <c r="E133" s="77" t="e">
        <f t="shared" si="9"/>
        <v>#N/A</v>
      </c>
      <c r="F133" s="80" t="e">
        <f>"'"&amp;VLOOKUP(B133,Translation!$A$2:$E$72,2,FALSE)&amp;"'!"</f>
        <v>#N/A</v>
      </c>
      <c r="G133" s="80" t="e">
        <f>INDEX(Data!$AJ$49:$AJ$64,MATCH(C133,Data!$AI$49:$AI$64))</f>
        <v>#N/A</v>
      </c>
      <c r="H133" s="80" t="e">
        <f t="shared" si="10"/>
        <v>#N/A</v>
      </c>
      <c r="I133" s="80" t="e">
        <f t="shared" ca="1" si="11"/>
        <v>#N/A</v>
      </c>
      <c r="J133" s="77" t="str">
        <f ca="1">IF(OR(C133&lt;17,C133=""),IF(B133&lt;&gt;B132,B133,IF($D133="","",INDIRECT(H133))),VLOOKUP(D133,'Start List'!$B$15:$D$120,J$8,FALSE))</f>
        <v/>
      </c>
      <c r="K133" s="77" t="str">
        <f ca="1">IF(OR($D133="",J133=""),"",VLOOKUP($J133,'Start List'!$D$15:$Y$120,'Match Play Standings'!K$8,FALSE))</f>
        <v/>
      </c>
      <c r="L133" s="79" t="str">
        <f ca="1">IF(OR($D133="",J133=""),"",VLOOKUP($J133,'Start List'!$D$15:$Y$120,'Match Play Standings'!L$8,FALSE))</f>
        <v/>
      </c>
      <c r="M133" s="207" t="str">
        <f ca="1">IF(OR($D133="",J133=""),"",VLOOKUP($J133,'Start List'!$D$15:$Y$120,'Match Play Standings'!M$8,FALSE))</f>
        <v/>
      </c>
      <c r="N133" s="210" t="str">
        <f ca="1">IF(OR($D133="",J133=""),"",VLOOKUP($J133,'Start List'!$D$15:$Y$120,'Match Play Standings'!N$8,FALSE))</f>
        <v/>
      </c>
      <c r="O133" s="210" t="str">
        <f ca="1">IF(OR($D133="",J133=""),"",VLOOKUP($J133,'Start List'!$D$15:$Y$120,'Match Play Standings'!O$8,FALSE))</f>
        <v/>
      </c>
      <c r="P133" s="234" t="str">
        <f t="shared" ca="1" si="12"/>
        <v/>
      </c>
      <c r="Q133" s="79" t="str">
        <f t="shared" ca="1" si="15"/>
        <v/>
      </c>
      <c r="R133" s="79" t="str">
        <f t="shared" ca="1" si="16"/>
        <v/>
      </c>
      <c r="S133" s="79" t="str">
        <f t="shared" ca="1" si="16"/>
        <v/>
      </c>
      <c r="T133" s="79" t="str">
        <f t="shared" ca="1" si="16"/>
        <v/>
      </c>
    </row>
    <row r="134" spans="1:20" ht="12.75" x14ac:dyDescent="0.2">
      <c r="A134" s="59" t="str">
        <f>IF(OR(COUNT('Start List'!A:A)+IF(Data!$AP$6=3,1,IF(Data!$AP$6=2,2,COUNTIF('Start List'!$I$9:$I$14,"&lt;21")))='Match Play Standings'!A133,A133=""),"",'Match Play Standings'!A133+1)</f>
        <v/>
      </c>
      <c r="B134" s="74" t="str">
        <f>IF(A134="","",IF(Data!$AP$6=1,VLOOKUP(SMALL('Start List'!$I$9:$I$139,A134),'Start List'!$I$9:$J$14,2,FALSE),IF(Data!$AP$6=2,'Men-Women'!B134,Data!$AK$2)))</f>
        <v/>
      </c>
      <c r="C134" s="75" t="str">
        <f>IF(OR(B134="",COUNTIF($B$9:B134,B134)=1),"",COUNTIF($B$9:B134,B134)-1)</f>
        <v/>
      </c>
      <c r="D134" s="76" t="str">
        <f ca="1">IF(""=C134,"",LARGE(INDIRECT(VLOOKUP(B134,'Start List'!$J$9:$P$14,Data!$AP$6+4,FALSE)),C134))</f>
        <v/>
      </c>
      <c r="E134" s="77" t="e">
        <f t="shared" si="9"/>
        <v>#N/A</v>
      </c>
      <c r="F134" s="80" t="e">
        <f>"'"&amp;VLOOKUP(B134,Translation!$A$2:$E$72,2,FALSE)&amp;"'!"</f>
        <v>#N/A</v>
      </c>
      <c r="G134" s="80" t="e">
        <f>INDEX(Data!$AJ$49:$AJ$64,MATCH(C134,Data!$AI$49:$AI$64))</f>
        <v>#N/A</v>
      </c>
      <c r="H134" s="80" t="e">
        <f t="shared" si="10"/>
        <v>#N/A</v>
      </c>
      <c r="I134" s="80" t="e">
        <f t="shared" ca="1" si="11"/>
        <v>#N/A</v>
      </c>
      <c r="J134" s="77" t="str">
        <f ca="1">IF(OR(C134&lt;17,C134=""),IF(B134&lt;&gt;B133,B134,IF($D134="","",INDIRECT(H134))),VLOOKUP(D134,'Start List'!$B$15:$D$120,J$8,FALSE))</f>
        <v/>
      </c>
      <c r="K134" s="77" t="str">
        <f ca="1">IF(OR($D134="",J134=""),"",VLOOKUP($J134,'Start List'!$D$15:$Y$120,'Match Play Standings'!K$8,FALSE))</f>
        <v/>
      </c>
      <c r="L134" s="79" t="str">
        <f ca="1">IF(OR($D134="",J134=""),"",VLOOKUP($J134,'Start List'!$D$15:$Y$120,'Match Play Standings'!L$8,FALSE))</f>
        <v/>
      </c>
      <c r="M134" s="207" t="str">
        <f ca="1">IF(OR($D134="",J134=""),"",VLOOKUP($J134,'Start List'!$D$15:$Y$120,'Match Play Standings'!M$8,FALSE))</f>
        <v/>
      </c>
      <c r="N134" s="210" t="str">
        <f ca="1">IF(OR($D134="",J134=""),"",VLOOKUP($J134,'Start List'!$D$15:$Y$120,'Match Play Standings'!N$8,FALSE))</f>
        <v/>
      </c>
      <c r="O134" s="210" t="str">
        <f ca="1">IF(OR($D134="",J134=""),"",VLOOKUP($J134,'Start List'!$D$15:$Y$120,'Match Play Standings'!O$8,FALSE))</f>
        <v/>
      </c>
      <c r="P134" s="234" t="str">
        <f t="shared" ca="1" si="12"/>
        <v/>
      </c>
      <c r="Q134" s="79" t="str">
        <f t="shared" ca="1" si="15"/>
        <v/>
      </c>
      <c r="R134" s="79" t="str">
        <f t="shared" ca="1" si="16"/>
        <v/>
      </c>
      <c r="S134" s="79" t="str">
        <f t="shared" ca="1" si="16"/>
        <v/>
      </c>
      <c r="T134" s="79" t="str">
        <f t="shared" ca="1" si="16"/>
        <v/>
      </c>
    </row>
    <row r="135" spans="1:20" ht="12.75" x14ac:dyDescent="0.2">
      <c r="A135" s="59" t="str">
        <f>IF(OR(COUNT('Start List'!A:A)+IF(Data!$AP$6=3,1,IF(Data!$AP$6=2,2,COUNTIF('Start List'!$I$9:$I$14,"&lt;21")))='Match Play Standings'!A134,A134=""),"",'Match Play Standings'!A134+1)</f>
        <v/>
      </c>
      <c r="B135" s="74" t="str">
        <f>IF(A135="","",IF(Data!$AP$6=1,VLOOKUP(SMALL('Start List'!$I$9:$I$139,A135),'Start List'!$I$9:$J$14,2,FALSE),IF(Data!$AP$6=2,'Men-Women'!B135,Data!$AK$2)))</f>
        <v/>
      </c>
      <c r="C135" s="75" t="str">
        <f>IF(OR(B135="",COUNTIF($B$9:B135,B135)=1),"",COUNTIF($B$9:B135,B135)-1)</f>
        <v/>
      </c>
      <c r="D135" s="76" t="str">
        <f ca="1">IF(""=C135,"",LARGE(INDIRECT(VLOOKUP(B135,'Start List'!$J$9:$P$14,Data!$AP$6+4,FALSE)),C135))</f>
        <v/>
      </c>
      <c r="E135" s="77" t="e">
        <f t="shared" si="9"/>
        <v>#N/A</v>
      </c>
      <c r="F135" s="80" t="e">
        <f>"'"&amp;VLOOKUP(B135,Translation!$A$2:$E$72,2,FALSE)&amp;"'!"</f>
        <v>#N/A</v>
      </c>
      <c r="G135" s="80" t="e">
        <f>INDEX(Data!$AJ$49:$AJ$64,MATCH(C135,Data!$AI$49:$AI$64))</f>
        <v>#N/A</v>
      </c>
      <c r="H135" s="80" t="e">
        <f t="shared" si="10"/>
        <v>#N/A</v>
      </c>
      <c r="I135" s="80" t="e">
        <f t="shared" ca="1" si="11"/>
        <v>#N/A</v>
      </c>
      <c r="J135" s="77" t="str">
        <f ca="1">IF(OR(C135&lt;17,C135=""),IF(B135&lt;&gt;B134,B135,IF($D135="","",INDIRECT(H135))),VLOOKUP(D135,'Start List'!$B$15:$D$120,J$8,FALSE))</f>
        <v/>
      </c>
      <c r="K135" s="77" t="str">
        <f ca="1">IF(OR($D135="",J135=""),"",VLOOKUP($J135,'Start List'!$D$15:$Y$120,'Match Play Standings'!K$8,FALSE))</f>
        <v/>
      </c>
      <c r="L135" s="79" t="str">
        <f ca="1">IF(OR($D135="",J135=""),"",VLOOKUP($J135,'Start List'!$D$15:$Y$120,'Match Play Standings'!L$8,FALSE))</f>
        <v/>
      </c>
      <c r="M135" s="207" t="str">
        <f ca="1">IF(OR($D135="",J135=""),"",VLOOKUP($J135,'Start List'!$D$15:$Y$120,'Match Play Standings'!M$8,FALSE))</f>
        <v/>
      </c>
      <c r="N135" s="210" t="str">
        <f ca="1">IF(OR($D135="",J135=""),"",VLOOKUP($J135,'Start List'!$D$15:$Y$120,'Match Play Standings'!N$8,FALSE))</f>
        <v/>
      </c>
      <c r="O135" s="210" t="str">
        <f ca="1">IF(OR($D135="",J135=""),"",VLOOKUP($J135,'Start List'!$D$15:$Y$120,'Match Play Standings'!O$8,FALSE))</f>
        <v/>
      </c>
      <c r="P135" s="234" t="str">
        <f t="shared" ca="1" si="12"/>
        <v/>
      </c>
      <c r="Q135" s="79" t="str">
        <f t="shared" ca="1" si="15"/>
        <v/>
      </c>
      <c r="R135" s="79" t="str">
        <f t="shared" ca="1" si="16"/>
        <v/>
      </c>
      <c r="S135" s="79" t="str">
        <f t="shared" ca="1" si="16"/>
        <v/>
      </c>
      <c r="T135" s="79" t="str">
        <f t="shared" ca="1" si="16"/>
        <v/>
      </c>
    </row>
    <row r="136" spans="1:20" ht="12.75" x14ac:dyDescent="0.2">
      <c r="A136" s="59" t="str">
        <f>IF(OR(COUNT('Start List'!A:A)+IF(Data!$AP$6=3,1,IF(Data!$AP$6=2,2,COUNTIF('Start List'!$I$9:$I$14,"&lt;21")))='Match Play Standings'!A135,A135=""),"",'Match Play Standings'!A135+1)</f>
        <v/>
      </c>
      <c r="B136" s="74" t="str">
        <f>IF(A136="","",IF(Data!$AP$6=1,VLOOKUP(SMALL('Start List'!$I$9:$I$139,A136),'Start List'!$I$9:$J$14,2,FALSE),IF(Data!$AP$6=2,'Men-Women'!B136,Data!$AK$2)))</f>
        <v/>
      </c>
      <c r="C136" s="75" t="str">
        <f>IF(OR(B136="",COUNTIF($B$9:B136,B136)=1),"",COUNTIF($B$9:B136,B136)-1)</f>
        <v/>
      </c>
      <c r="D136" s="76" t="str">
        <f ca="1">IF(""=C136,"",LARGE(INDIRECT(VLOOKUP(B136,'Start List'!$J$9:$P$14,Data!$AP$6+4,FALSE)),C136))</f>
        <v/>
      </c>
      <c r="E136" s="77" t="e">
        <f t="shared" si="9"/>
        <v>#N/A</v>
      </c>
      <c r="F136" s="80" t="e">
        <f>"'"&amp;VLOOKUP(B136,Translation!$A$2:$E$72,2,FALSE)&amp;"'!"</f>
        <v>#N/A</v>
      </c>
      <c r="G136" s="80" t="e">
        <f>INDEX(Data!$AJ$49:$AJ$64,MATCH(C136,Data!$AI$49:$AI$64))</f>
        <v>#N/A</v>
      </c>
      <c r="H136" s="80" t="e">
        <f t="shared" si="10"/>
        <v>#N/A</v>
      </c>
      <c r="I136" s="80" t="e">
        <f t="shared" ca="1" si="11"/>
        <v>#N/A</v>
      </c>
      <c r="J136" s="77" t="str">
        <f ca="1">IF(OR(C136&lt;17,C136=""),IF(B136&lt;&gt;B135,B136,IF($D136="","",INDIRECT(H136))),VLOOKUP(D136,'Start List'!$B$15:$D$120,J$8,FALSE))</f>
        <v/>
      </c>
      <c r="K136" s="77" t="str">
        <f ca="1">IF(OR($D136="",J136=""),"",VLOOKUP($J136,'Start List'!$D$15:$Y$120,'Match Play Standings'!K$8,FALSE))</f>
        <v/>
      </c>
      <c r="L136" s="79" t="str">
        <f ca="1">IF(OR($D136="",J136=""),"",VLOOKUP($J136,'Start List'!$D$15:$Y$120,'Match Play Standings'!L$8,FALSE))</f>
        <v/>
      </c>
      <c r="M136" s="207" t="str">
        <f ca="1">IF(OR($D136="",J136=""),"",VLOOKUP($J136,'Start List'!$D$15:$Y$120,'Match Play Standings'!M$8,FALSE))</f>
        <v/>
      </c>
      <c r="N136" s="210" t="str">
        <f ca="1">IF(OR($D136="",J136=""),"",VLOOKUP($J136,'Start List'!$D$15:$Y$120,'Match Play Standings'!N$8,FALSE))</f>
        <v/>
      </c>
      <c r="O136" s="210" t="str">
        <f ca="1">IF(OR($D136="",J136=""),"",VLOOKUP($J136,'Start List'!$D$15:$Y$120,'Match Play Standings'!O$8,FALSE))</f>
        <v/>
      </c>
      <c r="P136" s="234" t="str">
        <f t="shared" ca="1" si="12"/>
        <v/>
      </c>
      <c r="Q136" s="79" t="str">
        <f t="shared" ca="1" si="15"/>
        <v/>
      </c>
      <c r="R136" s="79" t="str">
        <f t="shared" ca="1" si="16"/>
        <v/>
      </c>
      <c r="S136" s="79" t="str">
        <f t="shared" ca="1" si="16"/>
        <v/>
      </c>
      <c r="T136" s="79" t="str">
        <f t="shared" ca="1" si="16"/>
        <v/>
      </c>
    </row>
    <row r="137" spans="1:20" ht="12.75" x14ac:dyDescent="0.2">
      <c r="A137" s="59" t="str">
        <f>IF(OR(COUNT('Start List'!A:A)+IF(Data!$AP$6=3,1,IF(Data!$AP$6=2,2,COUNTIF('Start List'!$I$9:$I$14,"&lt;21")))='Match Play Standings'!A136,A136=""),"",'Match Play Standings'!A136+1)</f>
        <v/>
      </c>
      <c r="B137" s="74" t="str">
        <f>IF(A137="","",IF(Data!$AP$6=1,VLOOKUP(SMALL('Start List'!$I$9:$I$139,A137),'Start List'!$I$9:$J$14,2,FALSE),IF(Data!$AP$6=2,'Men-Women'!B137,Data!$AK$2)))</f>
        <v/>
      </c>
      <c r="C137" s="75" t="str">
        <f>IF(OR(B137="",COUNTIF($B$9:B137,B137)=1),"",COUNTIF($B$9:B137,B137)-1)</f>
        <v/>
      </c>
      <c r="D137" s="76" t="str">
        <f ca="1">IF(""=C137,"",LARGE(INDIRECT(VLOOKUP(B137,'Start List'!$J$9:$P$14,Data!$AP$6+4,FALSE)),C137))</f>
        <v/>
      </c>
      <c r="E137" s="77" t="e">
        <f t="shared" si="9"/>
        <v>#N/A</v>
      </c>
      <c r="F137" s="80" t="e">
        <f>"'"&amp;VLOOKUP(B137,Translation!$A$2:$E$72,2,FALSE)&amp;"'!"</f>
        <v>#N/A</v>
      </c>
      <c r="G137" s="80" t="e">
        <f>INDEX(Data!$AJ$49:$AJ$64,MATCH(C137,Data!$AI$49:$AI$64))</f>
        <v>#N/A</v>
      </c>
      <c r="H137" s="80" t="e">
        <f t="shared" si="10"/>
        <v>#N/A</v>
      </c>
      <c r="I137" s="80" t="e">
        <f t="shared" ca="1" si="11"/>
        <v>#N/A</v>
      </c>
      <c r="J137" s="77" t="str">
        <f ca="1">IF(OR(C137&lt;17,C137=""),IF(B137&lt;&gt;B136,B137,IF($D137="","",INDIRECT(H137))),VLOOKUP(D137,'Start List'!$B$15:$D$120,J$8,FALSE))</f>
        <v/>
      </c>
      <c r="K137" s="77" t="str">
        <f ca="1">IF(OR($D137="",J137=""),"",VLOOKUP($J137,'Start List'!$D$15:$Y$120,'Match Play Standings'!K$8,FALSE))</f>
        <v/>
      </c>
      <c r="L137" s="79" t="str">
        <f ca="1">IF(OR($D137="",J137=""),"",VLOOKUP($J137,'Start List'!$D$15:$Y$120,'Match Play Standings'!L$8,FALSE))</f>
        <v/>
      </c>
      <c r="M137" s="207" t="str">
        <f ca="1">IF(OR($D137="",J137=""),"",VLOOKUP($J137,'Start List'!$D$15:$Y$120,'Match Play Standings'!M$8,FALSE))</f>
        <v/>
      </c>
      <c r="N137" s="210" t="str">
        <f ca="1">IF(OR($D137="",J137=""),"",VLOOKUP($J137,'Start List'!$D$15:$Y$120,'Match Play Standings'!N$8,FALSE))</f>
        <v/>
      </c>
      <c r="O137" s="210" t="str">
        <f ca="1">IF(OR($D137="",J137=""),"",VLOOKUP($J137,'Start List'!$D$15:$Y$120,'Match Play Standings'!O$8,FALSE))</f>
        <v/>
      </c>
      <c r="P137" s="234" t="str">
        <f t="shared" ca="1" si="12"/>
        <v/>
      </c>
      <c r="Q137" s="79" t="str">
        <f t="shared" ca="1" si="15"/>
        <v/>
      </c>
      <c r="R137" s="79" t="str">
        <f t="shared" ca="1" si="16"/>
        <v/>
      </c>
      <c r="S137" s="79" t="str">
        <f t="shared" ca="1" si="16"/>
        <v/>
      </c>
      <c r="T137" s="79" t="str">
        <f t="shared" ca="1" si="16"/>
        <v/>
      </c>
    </row>
    <row r="138" spans="1:20" ht="12.75" x14ac:dyDescent="0.2">
      <c r="A138" s="59" t="str">
        <f>IF(OR(COUNT('Start List'!A:A)+IF(Data!$AP$6=3,1,IF(Data!$AP$6=2,2,COUNTIF('Start List'!$I$9:$I$14,"&lt;21")))='Match Play Standings'!A137,A137=""),"",'Match Play Standings'!A137+1)</f>
        <v/>
      </c>
      <c r="B138" s="74" t="str">
        <f>IF(A138="","",IF(Data!$AP$6=1,VLOOKUP(SMALL('Start List'!$I$9:$I$139,A138),'Start List'!$I$9:$J$14,2,FALSE),IF(Data!$AP$6=2,'Men-Women'!B138,Data!$AK$2)))</f>
        <v/>
      </c>
      <c r="C138" s="75" t="str">
        <f>IF(OR(B138="",COUNTIF($B$9:B138,B138)=1),"",COUNTIF($B$9:B138,B138)-1)</f>
        <v/>
      </c>
      <c r="D138" s="76" t="str">
        <f ca="1">IF(""=C138,"",LARGE(INDIRECT(VLOOKUP(B138,'Start List'!$J$9:$P$14,Data!$AP$6+4,FALSE)),C138))</f>
        <v/>
      </c>
      <c r="E138" s="77" t="e">
        <f t="shared" si="9"/>
        <v>#N/A</v>
      </c>
      <c r="F138" s="80" t="e">
        <f>"'"&amp;VLOOKUP(B138,Translation!$A$2:$E$72,2,FALSE)&amp;"'!"</f>
        <v>#N/A</v>
      </c>
      <c r="G138" s="80" t="e">
        <f>INDEX(Data!$AJ$49:$AJ$64,MATCH(C138,Data!$AI$49:$AI$64))</f>
        <v>#N/A</v>
      </c>
      <c r="H138" s="80" t="e">
        <f t="shared" si="10"/>
        <v>#N/A</v>
      </c>
      <c r="I138" s="80" t="e">
        <f t="shared" ca="1" si="11"/>
        <v>#N/A</v>
      </c>
      <c r="J138" s="77" t="str">
        <f ca="1">IF(OR(C138&lt;17,C138=""),IF(B138&lt;&gt;B137,B138,IF($D138="","",INDIRECT(H138))),VLOOKUP(D138,'Start List'!$B$15:$D$120,J$8,FALSE))</f>
        <v/>
      </c>
      <c r="K138" s="77" t="str">
        <f ca="1">IF(OR($D138="",J138=""),"",VLOOKUP($J138,'Start List'!$D$15:$Y$120,'Match Play Standings'!K$8,FALSE))</f>
        <v/>
      </c>
      <c r="L138" s="79" t="str">
        <f ca="1">IF(OR($D138="",J138=""),"",VLOOKUP($J138,'Start List'!$D$15:$Y$120,'Match Play Standings'!L$8,FALSE))</f>
        <v/>
      </c>
      <c r="M138" s="207" t="str">
        <f ca="1">IF(OR($D138="",J138=""),"",VLOOKUP($J138,'Start List'!$D$15:$Y$120,'Match Play Standings'!M$8,FALSE))</f>
        <v/>
      </c>
      <c r="N138" s="210" t="str">
        <f ca="1">IF(OR($D138="",J138=""),"",VLOOKUP($J138,'Start List'!$D$15:$Y$120,'Match Play Standings'!N$8,FALSE))</f>
        <v/>
      </c>
      <c r="O138" s="210" t="str">
        <f ca="1">IF(OR($D138="",J138=""),"",VLOOKUP($J138,'Start List'!$D$15:$Y$120,'Match Play Standings'!O$8,FALSE))</f>
        <v/>
      </c>
      <c r="P138" s="234" t="str">
        <f t="shared" ca="1" si="12"/>
        <v/>
      </c>
      <c r="Q138" s="79" t="str">
        <f t="shared" ca="1" si="15"/>
        <v/>
      </c>
      <c r="R138" s="79" t="str">
        <f t="shared" ca="1" si="16"/>
        <v/>
      </c>
      <c r="S138" s="79" t="str">
        <f t="shared" ca="1" si="16"/>
        <v/>
      </c>
      <c r="T138" s="79" t="str">
        <f t="shared" ca="1" si="16"/>
        <v/>
      </c>
    </row>
    <row r="139" spans="1:20" ht="12.75" x14ac:dyDescent="0.2">
      <c r="A139" s="59" t="str">
        <f>IF(OR(COUNT('Start List'!A:A)+IF(Data!$AP$6=3,1,IF(Data!$AP$6=2,2,COUNTIF('Start List'!$I$9:$I$14,"&lt;21")))='Match Play Standings'!A138,A138=""),"",'Match Play Standings'!A138+1)</f>
        <v/>
      </c>
      <c r="B139" s="74" t="str">
        <f>IF(A139="","",IF(Data!$AP$6=1,VLOOKUP(SMALL('Start List'!$I$9:$I$139,A139),'Start List'!$I$9:$J$14,2,FALSE),IF(Data!$AP$6=2,'Men-Women'!B139,Data!$AK$2)))</f>
        <v/>
      </c>
      <c r="C139" s="75" t="str">
        <f>IF(OR(B139="",COUNTIF($B$9:B139,B139)=1),"",COUNTIF($B$9:B139,B139)-1)</f>
        <v/>
      </c>
      <c r="D139" s="76" t="str">
        <f ca="1">IF(""=C139,"",LARGE(INDIRECT(VLOOKUP(B139,'Start List'!$J$9:$P$14,Data!$AP$6+4,FALSE)),C139))</f>
        <v/>
      </c>
      <c r="E139" s="77" t="e">
        <f t="shared" ref="E139" si="17">F139&amp;"$BN$73:$BT$88"</f>
        <v>#N/A</v>
      </c>
      <c r="F139" s="80" t="e">
        <f>"'"&amp;VLOOKUP(B139,Translation!$A$2:$E$72,2,FALSE)&amp;"'!"</f>
        <v>#N/A</v>
      </c>
      <c r="G139" s="80" t="e">
        <f>INDEX(Data!$AJ$49:$AJ$64,MATCH(C139,Data!$AI$49:$AI$64))</f>
        <v>#N/A</v>
      </c>
      <c r="H139" s="80" t="e">
        <f t="shared" ref="H139" si="18">F139&amp;G139</f>
        <v>#N/A</v>
      </c>
      <c r="I139" s="80" t="e">
        <f t="shared" ref="I139" ca="1" si="19">VLOOKUP(J139,INDIRECT(E139),2,FALSE)</f>
        <v>#N/A</v>
      </c>
      <c r="J139" s="77" t="str">
        <f ca="1">IF(OR(C139&lt;17,C139=""),IF(B139&lt;&gt;B138,B139,IF($D139="","",INDIRECT(H139))),VLOOKUP(D139,'Start List'!$B$15:$D$120,J$8,FALSE))</f>
        <v/>
      </c>
      <c r="K139" s="77" t="str">
        <f ca="1">IF(OR($D139="",J139=""),"",VLOOKUP($J139,'Start List'!$D$15:$Y$120,'Match Play Standings'!K$8,FALSE))</f>
        <v/>
      </c>
      <c r="L139" s="79" t="str">
        <f ca="1">IF(OR($D139="",J139=""),"",VLOOKUP($J139,'Start List'!$D$15:$Y$120,'Match Play Standings'!L$8,FALSE))</f>
        <v/>
      </c>
      <c r="M139" s="207" t="str">
        <f ca="1">IF(OR($D139="",J139=""),"",VLOOKUP($J139,'Start List'!$D$15:$Y$120,'Match Play Standings'!M$8,FALSE))</f>
        <v/>
      </c>
      <c r="N139" s="210" t="str">
        <f ca="1">IF(OR($D139="",J139=""),"",VLOOKUP($J139,'Start List'!$D$15:$Y$120,'Match Play Standings'!N$8,FALSE))</f>
        <v/>
      </c>
      <c r="O139" s="210" t="str">
        <f ca="1">IF(OR($D139="",J139=""),"",VLOOKUP($J139,'Start List'!$D$15:$Y$120,'Match Play Standings'!O$8,FALSE))</f>
        <v/>
      </c>
      <c r="P139" s="234" t="str">
        <f t="shared" ref="P139" ca="1" si="20">IFERROR(I139-C139,"")</f>
        <v/>
      </c>
      <c r="Q139" s="79" t="str">
        <f t="shared" ca="1" si="15"/>
        <v/>
      </c>
      <c r="R139" s="79" t="str">
        <f t="shared" ca="1" si="16"/>
        <v/>
      </c>
      <c r="S139" s="79" t="str">
        <f t="shared" ca="1" si="16"/>
        <v/>
      </c>
      <c r="T139" s="79" t="str">
        <f t="shared" ca="1" si="16"/>
        <v/>
      </c>
    </row>
    <row r="140" spans="1:20" ht="12.75" x14ac:dyDescent="0.2">
      <c r="B140" s="74"/>
    </row>
  </sheetData>
  <sheetProtection password="D50B" sheet="1" objects="1" scenarios="1"/>
  <mergeCells count="14">
    <mergeCell ref="A1:T1"/>
    <mergeCell ref="A2:T2"/>
    <mergeCell ref="A3:T3"/>
    <mergeCell ref="A4:T4"/>
    <mergeCell ref="C6:C7"/>
    <mergeCell ref="J6:J7"/>
    <mergeCell ref="K6:K7"/>
    <mergeCell ref="L6:L7"/>
    <mergeCell ref="M6:O6"/>
    <mergeCell ref="T6:T7"/>
    <mergeCell ref="P6:P7"/>
    <mergeCell ref="Q6:Q7"/>
    <mergeCell ref="R6:R7"/>
    <mergeCell ref="S6:S7"/>
  </mergeCells>
  <conditionalFormatting sqref="C9:T139">
    <cfRule type="expression" dxfId="2" priority="2">
      <formula>OR($J9="")</formula>
    </cfRule>
    <cfRule type="expression" dxfId="1" priority="3">
      <formula>OR($J9="Apsolutna",$J9="Absolute",$J9="Absolut",$J9="Apsolutní",$J9="Men",$J9="Women",$J9="Juniors",$J9="Cadets  ",$J9="Senior Men",$J9="Senior Women",$J9="Muški",$J9="Žene     ",$J9="Juniori   ",$J9="Kadeti     ",$J9="Seniori     ",$J9="Seniorke     ",$J9="Seniors  ",$J9="Muži",$J9="Ženy ",$J9="Junioři",$J9="Kadeti  ",$J9="Senioři  ",$J9="Seniořky  ",$J9="Herren",$J9="Dammen ",$J9="Junioren",$J9="Kadetten ",$J9="Senioren Herren",$J9="Senioren Dammen ",$J9="Senioren  ")</formula>
    </cfRule>
  </conditionalFormatting>
  <conditionalFormatting sqref="P6:XFD6 A1:XFD5 A6:M6 A7:XFD1048576">
    <cfRule type="expression" dxfId="0" priority="1">
      <formula>OR($D$6&lt;=$D$7)</formula>
    </cfRule>
  </conditionalFormatting>
  <conditionalFormatting sqref="P10:P139">
    <cfRule type="iconSet" priority="4">
      <iconSet iconSet="3Arrows">
        <cfvo type="percent" val="0"/>
        <cfvo type="num" val="0"/>
        <cfvo type="num" val="0" gte="0"/>
      </iconSet>
    </cfRule>
  </conditionalFormatting>
  <printOptions horizontalCentered="1"/>
  <pageMargins left="0.39370078740157483" right="0.39370078740157483" top="0.59055118110236227" bottom="0.59055118110236227" header="0" footer="0"/>
  <pageSetup paperSize="9" scale="8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I78"/>
  <sheetViews>
    <sheetView workbookViewId="0">
      <selection activeCell="D23" sqref="D23"/>
    </sheetView>
  </sheetViews>
  <sheetFormatPr defaultRowHeight="12.75" x14ac:dyDescent="0.2"/>
  <cols>
    <col min="1" max="1" width="6.28515625" style="33" bestFit="1" customWidth="1"/>
    <col min="2" max="3" width="22.28515625" style="33" bestFit="1" customWidth="1"/>
    <col min="4" max="4" width="22.42578125" style="33" bestFit="1" customWidth="1"/>
    <col min="5" max="7" width="22.28515625" style="33" bestFit="1" customWidth="1"/>
    <col min="8" max="8" width="9.140625" style="33"/>
    <col min="9" max="9" width="24.5703125" style="33" customWidth="1"/>
    <col min="10" max="16384" width="9.140625" style="33"/>
  </cols>
  <sheetData>
    <row r="1" spans="1:9" x14ac:dyDescent="0.2">
      <c r="B1" s="33" t="s">
        <v>559</v>
      </c>
      <c r="C1" s="33" t="s">
        <v>557</v>
      </c>
      <c r="D1" s="38" t="s">
        <v>618</v>
      </c>
      <c r="E1" s="38" t="s">
        <v>619</v>
      </c>
      <c r="G1" s="38" t="s">
        <v>620</v>
      </c>
      <c r="I1" s="38" t="s">
        <v>634</v>
      </c>
    </row>
    <row r="2" spans="1:9" x14ac:dyDescent="0.2">
      <c r="A2" s="33" t="s">
        <v>4</v>
      </c>
      <c r="B2" s="33" t="s">
        <v>9</v>
      </c>
      <c r="C2" s="163" t="s">
        <v>745</v>
      </c>
      <c r="D2" s="38" t="s">
        <v>622</v>
      </c>
      <c r="E2" s="38" t="s">
        <v>661</v>
      </c>
      <c r="F2" s="33">
        <f>LEN(C2)</f>
        <v>5</v>
      </c>
      <c r="G2" s="38" t="s">
        <v>652</v>
      </c>
      <c r="H2" s="33">
        <f>LEN(G2)</f>
        <v>6</v>
      </c>
      <c r="I2" s="38" t="s">
        <v>635</v>
      </c>
    </row>
    <row r="3" spans="1:9" x14ac:dyDescent="0.2">
      <c r="A3" s="33" t="s">
        <v>3</v>
      </c>
      <c r="B3" s="33" t="s">
        <v>8</v>
      </c>
      <c r="C3" s="33" t="s">
        <v>565</v>
      </c>
      <c r="D3" s="38" t="s">
        <v>623</v>
      </c>
      <c r="E3" s="38" t="s">
        <v>662</v>
      </c>
      <c r="F3" s="33">
        <f t="shared" ref="F3:F8" si="0">LEN(C3)</f>
        <v>9</v>
      </c>
      <c r="G3" s="38" t="s">
        <v>669</v>
      </c>
      <c r="H3" s="33">
        <f t="shared" ref="H3:H8" si="1">LEN(G3)</f>
        <v>7</v>
      </c>
      <c r="I3" s="38" t="s">
        <v>636</v>
      </c>
    </row>
    <row r="4" spans="1:9" x14ac:dyDescent="0.2">
      <c r="A4" s="33" t="s">
        <v>5</v>
      </c>
      <c r="B4" s="33" t="s">
        <v>7</v>
      </c>
      <c r="C4" s="33" t="s">
        <v>566</v>
      </c>
      <c r="D4" s="38" t="s">
        <v>624</v>
      </c>
      <c r="E4" s="38" t="s">
        <v>651</v>
      </c>
      <c r="F4" s="33">
        <f t="shared" si="0"/>
        <v>10</v>
      </c>
      <c r="G4" s="38" t="s">
        <v>670</v>
      </c>
      <c r="H4" s="33">
        <f t="shared" si="1"/>
        <v>8</v>
      </c>
      <c r="I4" s="38" t="s">
        <v>637</v>
      </c>
    </row>
    <row r="5" spans="1:9" x14ac:dyDescent="0.2">
      <c r="A5" s="33" t="s">
        <v>6</v>
      </c>
      <c r="B5" s="38" t="s">
        <v>10</v>
      </c>
      <c r="C5" s="33" t="s">
        <v>567</v>
      </c>
      <c r="D5" s="38" t="s">
        <v>691</v>
      </c>
      <c r="E5" s="38" t="s">
        <v>656</v>
      </c>
      <c r="F5" s="33">
        <f t="shared" si="0"/>
        <v>11</v>
      </c>
      <c r="G5" s="38" t="s">
        <v>671</v>
      </c>
      <c r="H5" s="33">
        <f t="shared" si="1"/>
        <v>9</v>
      </c>
      <c r="I5" s="38" t="s">
        <v>638</v>
      </c>
    </row>
    <row r="6" spans="1:9" x14ac:dyDescent="0.2">
      <c r="A6" s="33" t="s">
        <v>34</v>
      </c>
      <c r="B6" s="33" t="s">
        <v>33</v>
      </c>
      <c r="C6" s="33" t="s">
        <v>568</v>
      </c>
      <c r="D6" s="38" t="s">
        <v>625</v>
      </c>
      <c r="E6" s="38" t="s">
        <v>663</v>
      </c>
      <c r="F6" s="33">
        <f t="shared" si="0"/>
        <v>12</v>
      </c>
      <c r="G6" s="38" t="s">
        <v>672</v>
      </c>
      <c r="H6" s="33">
        <f t="shared" si="1"/>
        <v>10</v>
      </c>
      <c r="I6" s="38" t="s">
        <v>639</v>
      </c>
    </row>
    <row r="7" spans="1:9" x14ac:dyDescent="0.2">
      <c r="A7" s="33" t="s">
        <v>35</v>
      </c>
      <c r="B7" s="33" t="s">
        <v>36</v>
      </c>
      <c r="C7" s="33" t="s">
        <v>569</v>
      </c>
      <c r="D7" s="38" t="s">
        <v>692</v>
      </c>
      <c r="E7" s="38" t="s">
        <v>664</v>
      </c>
      <c r="F7" s="33">
        <f t="shared" si="0"/>
        <v>13</v>
      </c>
      <c r="G7" s="38" t="s">
        <v>653</v>
      </c>
      <c r="H7" s="33">
        <f t="shared" si="1"/>
        <v>14</v>
      </c>
      <c r="I7" s="38" t="s">
        <v>640</v>
      </c>
    </row>
    <row r="8" spans="1:9" x14ac:dyDescent="0.2">
      <c r="A8" s="33" t="s">
        <v>667</v>
      </c>
      <c r="B8" s="33" t="s">
        <v>668</v>
      </c>
      <c r="C8" s="33" t="s">
        <v>568</v>
      </c>
      <c r="D8" s="38" t="s">
        <v>625</v>
      </c>
      <c r="E8" s="38" t="s">
        <v>657</v>
      </c>
      <c r="F8" s="33">
        <f t="shared" si="0"/>
        <v>12</v>
      </c>
      <c r="G8" s="38" t="s">
        <v>672</v>
      </c>
      <c r="H8" s="33">
        <f t="shared" si="1"/>
        <v>10</v>
      </c>
      <c r="I8" s="38"/>
    </row>
    <row r="9" spans="1:9" x14ac:dyDescent="0.2">
      <c r="A9" s="33" t="s">
        <v>665</v>
      </c>
      <c r="B9" s="33" t="s">
        <v>666</v>
      </c>
      <c r="C9" s="33" t="s">
        <v>684</v>
      </c>
      <c r="D9" s="38" t="s">
        <v>685</v>
      </c>
      <c r="E9" s="38" t="s">
        <v>693</v>
      </c>
      <c r="G9" s="38"/>
      <c r="I9" s="38"/>
    </row>
    <row r="10" spans="1:9" x14ac:dyDescent="0.2">
      <c r="A10" s="33" t="s">
        <v>676</v>
      </c>
      <c r="B10" s="33" t="s">
        <v>674</v>
      </c>
      <c r="C10" s="33" t="s">
        <v>678</v>
      </c>
      <c r="D10" s="38" t="s">
        <v>681</v>
      </c>
      <c r="E10" s="38" t="s">
        <v>682</v>
      </c>
      <c r="G10" s="38"/>
      <c r="I10" s="38"/>
    </row>
    <row r="11" spans="1:9" x14ac:dyDescent="0.2">
      <c r="A11" s="33" t="s">
        <v>677</v>
      </c>
      <c r="B11" s="33" t="s">
        <v>675</v>
      </c>
      <c r="C11" s="33" t="s">
        <v>679</v>
      </c>
      <c r="D11" s="38" t="s">
        <v>680</v>
      </c>
      <c r="E11" s="38" t="s">
        <v>683</v>
      </c>
      <c r="G11" s="38"/>
      <c r="I11" s="38"/>
    </row>
    <row r="12" spans="1:9" x14ac:dyDescent="0.2">
      <c r="A12" s="38" t="s">
        <v>695</v>
      </c>
      <c r="B12" s="38" t="s">
        <v>20</v>
      </c>
      <c r="C12" s="38" t="s">
        <v>698</v>
      </c>
      <c r="D12" s="38" t="s">
        <v>701</v>
      </c>
      <c r="E12" s="38" t="s">
        <v>698</v>
      </c>
      <c r="G12" s="38" t="s">
        <v>698</v>
      </c>
      <c r="I12" s="38"/>
    </row>
    <row r="13" spans="1:9" x14ac:dyDescent="0.2">
      <c r="A13" s="38" t="s">
        <v>696</v>
      </c>
      <c r="B13" s="38" t="s">
        <v>19</v>
      </c>
      <c r="C13" s="38" t="s">
        <v>699</v>
      </c>
      <c r="D13" s="38" t="s">
        <v>700</v>
      </c>
      <c r="E13" s="38" t="s">
        <v>705</v>
      </c>
      <c r="G13" s="38" t="s">
        <v>707</v>
      </c>
      <c r="I13" s="38"/>
    </row>
    <row r="14" spans="1:9" x14ac:dyDescent="0.2">
      <c r="A14" s="38" t="s">
        <v>697</v>
      </c>
      <c r="B14" s="38" t="s">
        <v>702</v>
      </c>
      <c r="C14" s="38" t="s">
        <v>703</v>
      </c>
      <c r="D14" s="38" t="s">
        <v>704</v>
      </c>
      <c r="E14" s="38" t="s">
        <v>706</v>
      </c>
      <c r="G14" s="38"/>
      <c r="I14" s="38"/>
    </row>
    <row r="15" spans="1:9" x14ac:dyDescent="0.2">
      <c r="A15" s="163" t="s">
        <v>725</v>
      </c>
      <c r="B15" s="163" t="s">
        <v>722</v>
      </c>
      <c r="C15" s="33" t="s">
        <v>688</v>
      </c>
      <c r="D15" s="38" t="s">
        <v>689</v>
      </c>
      <c r="E15" s="38" t="s">
        <v>730</v>
      </c>
      <c r="G15" s="38"/>
      <c r="I15" s="38"/>
    </row>
    <row r="16" spans="1:9" x14ac:dyDescent="0.2">
      <c r="A16" s="163" t="s">
        <v>731</v>
      </c>
      <c r="B16" s="163" t="s">
        <v>721</v>
      </c>
      <c r="C16" s="163" t="s">
        <v>732</v>
      </c>
      <c r="D16" s="38" t="s">
        <v>734</v>
      </c>
      <c r="E16" s="38" t="s">
        <v>733</v>
      </c>
      <c r="G16" s="38"/>
      <c r="I16" s="38"/>
    </row>
    <row r="17" spans="1:9" x14ac:dyDescent="0.2">
      <c r="A17" s="33" t="s">
        <v>578</v>
      </c>
      <c r="B17" s="33" t="s">
        <v>18</v>
      </c>
      <c r="C17" s="33" t="s">
        <v>579</v>
      </c>
      <c r="D17" s="38" t="s">
        <v>621</v>
      </c>
      <c r="E17" s="38" t="s">
        <v>650</v>
      </c>
      <c r="G17" s="38" t="s">
        <v>654</v>
      </c>
    </row>
    <row r="18" spans="1:9" x14ac:dyDescent="0.2">
      <c r="A18" s="33" t="s">
        <v>570</v>
      </c>
      <c r="B18" s="33" t="s">
        <v>2</v>
      </c>
      <c r="C18" s="33" t="s">
        <v>575</v>
      </c>
      <c r="D18" s="38" t="s">
        <v>626</v>
      </c>
      <c r="E18" s="38" t="s">
        <v>658</v>
      </c>
      <c r="G18" s="38" t="s">
        <v>655</v>
      </c>
      <c r="I18" s="33" t="s">
        <v>641</v>
      </c>
    </row>
    <row r="19" spans="1:9" x14ac:dyDescent="0.2">
      <c r="A19" s="33" t="s">
        <v>571</v>
      </c>
      <c r="B19" s="33" t="s">
        <v>1</v>
      </c>
      <c r="C19" s="33" t="s">
        <v>576</v>
      </c>
      <c r="D19" s="38" t="s">
        <v>576</v>
      </c>
      <c r="E19" s="38" t="s">
        <v>576</v>
      </c>
      <c r="G19" s="38" t="s">
        <v>1</v>
      </c>
    </row>
    <row r="20" spans="1:9" x14ac:dyDescent="0.2">
      <c r="A20" s="33" t="s">
        <v>572</v>
      </c>
      <c r="B20" s="33" t="s">
        <v>22</v>
      </c>
      <c r="C20" s="33" t="s">
        <v>688</v>
      </c>
      <c r="D20" s="38" t="s">
        <v>689</v>
      </c>
      <c r="E20" s="38" t="s">
        <v>730</v>
      </c>
    </row>
    <row r="21" spans="1:9" x14ac:dyDescent="0.2">
      <c r="A21" s="33" t="s">
        <v>573</v>
      </c>
      <c r="B21" s="33" t="s">
        <v>574</v>
      </c>
      <c r="C21" s="38" t="s">
        <v>612</v>
      </c>
      <c r="D21" s="38" t="s">
        <v>627</v>
      </c>
      <c r="E21" s="38" t="s">
        <v>645</v>
      </c>
    </row>
    <row r="22" spans="1:9" x14ac:dyDescent="0.2">
      <c r="A22" s="33" t="s">
        <v>577</v>
      </c>
      <c r="B22" s="33" t="s">
        <v>592</v>
      </c>
      <c r="C22" s="38" t="s">
        <v>613</v>
      </c>
      <c r="D22" s="38" t="s">
        <v>628</v>
      </c>
      <c r="E22" s="38" t="s">
        <v>648</v>
      </c>
    </row>
    <row r="23" spans="1:9" x14ac:dyDescent="0.2">
      <c r="A23" s="33" t="s">
        <v>591</v>
      </c>
      <c r="B23" s="33" t="s">
        <v>564</v>
      </c>
      <c r="C23" s="33" t="s">
        <v>593</v>
      </c>
      <c r="D23" s="38" t="s">
        <v>593</v>
      </c>
      <c r="E23" s="38" t="s">
        <v>593</v>
      </c>
      <c r="I23" s="38" t="s">
        <v>642</v>
      </c>
    </row>
    <row r="24" spans="1:9" x14ac:dyDescent="0.2">
      <c r="A24" s="33" t="s">
        <v>590</v>
      </c>
      <c r="B24" s="39" t="s">
        <v>595</v>
      </c>
      <c r="C24" s="33" t="s">
        <v>594</v>
      </c>
      <c r="D24" s="38" t="s">
        <v>694</v>
      </c>
      <c r="E24" s="39" t="s">
        <v>595</v>
      </c>
      <c r="G24" s="39" t="s">
        <v>595</v>
      </c>
      <c r="I24" s="39" t="s">
        <v>595</v>
      </c>
    </row>
    <row r="25" spans="1:9" x14ac:dyDescent="0.2">
      <c r="A25" s="33" t="s">
        <v>586</v>
      </c>
      <c r="B25" s="33" t="s">
        <v>558</v>
      </c>
      <c r="C25" s="33" t="s">
        <v>596</v>
      </c>
      <c r="D25" s="38" t="s">
        <v>629</v>
      </c>
      <c r="E25" s="38" t="s">
        <v>646</v>
      </c>
      <c r="I25" s="38" t="s">
        <v>643</v>
      </c>
    </row>
    <row r="26" spans="1:9" x14ac:dyDescent="0.2">
      <c r="A26" s="33" t="s">
        <v>587</v>
      </c>
      <c r="B26" s="163" t="s">
        <v>735</v>
      </c>
      <c r="C26" s="33" t="s">
        <v>597</v>
      </c>
      <c r="D26" s="38" t="s">
        <v>630</v>
      </c>
      <c r="E26" s="38" t="s">
        <v>736</v>
      </c>
      <c r="I26" s="38" t="s">
        <v>644</v>
      </c>
    </row>
    <row r="27" spans="1:9" x14ac:dyDescent="0.2">
      <c r="A27" s="33" t="s">
        <v>588</v>
      </c>
      <c r="B27" s="33" t="s">
        <v>563</v>
      </c>
      <c r="C27" s="33" t="s">
        <v>598</v>
      </c>
      <c r="D27" s="38" t="s">
        <v>631</v>
      </c>
      <c r="E27" s="38" t="s">
        <v>647</v>
      </c>
    </row>
    <row r="28" spans="1:9" x14ac:dyDescent="0.2">
      <c r="A28" s="33" t="s">
        <v>589</v>
      </c>
      <c r="B28" s="33" t="s">
        <v>601</v>
      </c>
      <c r="C28" s="38" t="s">
        <v>614</v>
      </c>
      <c r="D28" s="38" t="s">
        <v>632</v>
      </c>
      <c r="E28" s="38" t="s">
        <v>649</v>
      </c>
    </row>
    <row r="29" spans="1:9" x14ac:dyDescent="0.2">
      <c r="A29" s="33" t="s">
        <v>9</v>
      </c>
      <c r="B29" s="33" t="s">
        <v>9</v>
      </c>
      <c r="C29" s="33" t="s">
        <v>9</v>
      </c>
      <c r="D29" s="33" t="s">
        <v>9</v>
      </c>
      <c r="E29" s="33" t="s">
        <v>9</v>
      </c>
    </row>
    <row r="30" spans="1:9" x14ac:dyDescent="0.2">
      <c r="A30" s="33" t="s">
        <v>8</v>
      </c>
      <c r="B30" s="33" t="s">
        <v>8</v>
      </c>
      <c r="C30" s="33" t="s">
        <v>8</v>
      </c>
      <c r="D30" s="33" t="s">
        <v>8</v>
      </c>
      <c r="E30" s="33" t="s">
        <v>8</v>
      </c>
    </row>
    <row r="31" spans="1:9" x14ac:dyDescent="0.2">
      <c r="A31" s="33" t="s">
        <v>7</v>
      </c>
      <c r="B31" s="33" t="s">
        <v>7</v>
      </c>
      <c r="C31" s="33" t="s">
        <v>7</v>
      </c>
      <c r="D31" s="33" t="s">
        <v>7</v>
      </c>
      <c r="E31" s="33" t="s">
        <v>7</v>
      </c>
    </row>
    <row r="32" spans="1:9" x14ac:dyDescent="0.2">
      <c r="A32" s="38" t="s">
        <v>10</v>
      </c>
      <c r="B32" s="38" t="s">
        <v>741</v>
      </c>
      <c r="C32" s="38" t="s">
        <v>741</v>
      </c>
      <c r="D32" s="38" t="s">
        <v>741</v>
      </c>
      <c r="E32" s="38" t="s">
        <v>741</v>
      </c>
    </row>
    <row r="33" spans="1:5" x14ac:dyDescent="0.2">
      <c r="A33" s="33" t="s">
        <v>33</v>
      </c>
      <c r="B33" s="163" t="s">
        <v>33</v>
      </c>
      <c r="C33" s="163" t="s">
        <v>33</v>
      </c>
      <c r="D33" s="163" t="s">
        <v>33</v>
      </c>
      <c r="E33" s="163" t="s">
        <v>33</v>
      </c>
    </row>
    <row r="34" spans="1:5" x14ac:dyDescent="0.2">
      <c r="A34" s="33" t="s">
        <v>36</v>
      </c>
      <c r="B34" s="163" t="s">
        <v>36</v>
      </c>
      <c r="C34" s="163" t="s">
        <v>36</v>
      </c>
      <c r="D34" s="163" t="s">
        <v>36</v>
      </c>
      <c r="E34" s="163" t="s">
        <v>36</v>
      </c>
    </row>
    <row r="35" spans="1:5" x14ac:dyDescent="0.2">
      <c r="A35" s="33" t="s">
        <v>668</v>
      </c>
      <c r="B35" s="33" t="s">
        <v>742</v>
      </c>
      <c r="C35" s="33" t="s">
        <v>742</v>
      </c>
      <c r="D35" s="33" t="s">
        <v>742</v>
      </c>
      <c r="E35" s="33" t="s">
        <v>742</v>
      </c>
    </row>
    <row r="36" spans="1:5" x14ac:dyDescent="0.2">
      <c r="A36" s="163" t="s">
        <v>745</v>
      </c>
      <c r="B36" s="33" t="s">
        <v>9</v>
      </c>
      <c r="C36" s="33" t="s">
        <v>9</v>
      </c>
      <c r="D36" s="33" t="s">
        <v>9</v>
      </c>
      <c r="E36" s="33" t="s">
        <v>9</v>
      </c>
    </row>
    <row r="37" spans="1:5" x14ac:dyDescent="0.2">
      <c r="A37" s="33" t="s">
        <v>565</v>
      </c>
      <c r="B37" s="33" t="s">
        <v>8</v>
      </c>
      <c r="C37" s="33" t="s">
        <v>8</v>
      </c>
      <c r="D37" s="33" t="s">
        <v>8</v>
      </c>
      <c r="E37" s="33" t="s">
        <v>8</v>
      </c>
    </row>
    <row r="38" spans="1:5" x14ac:dyDescent="0.2">
      <c r="A38" s="33" t="s">
        <v>566</v>
      </c>
      <c r="B38" s="33" t="s">
        <v>7</v>
      </c>
      <c r="C38" s="33" t="s">
        <v>7</v>
      </c>
      <c r="D38" s="33" t="s">
        <v>7</v>
      </c>
      <c r="E38" s="33" t="s">
        <v>7</v>
      </c>
    </row>
    <row r="39" spans="1:5" x14ac:dyDescent="0.2">
      <c r="A39" s="33" t="s">
        <v>567</v>
      </c>
      <c r="B39" s="38" t="s">
        <v>741</v>
      </c>
      <c r="C39" s="38" t="s">
        <v>741</v>
      </c>
      <c r="D39" s="38" t="s">
        <v>741</v>
      </c>
      <c r="E39" s="38" t="s">
        <v>741</v>
      </c>
    </row>
    <row r="40" spans="1:5" x14ac:dyDescent="0.2">
      <c r="A40" s="33" t="s">
        <v>568</v>
      </c>
      <c r="B40" s="163" t="s">
        <v>33</v>
      </c>
      <c r="C40" s="163" t="s">
        <v>33</v>
      </c>
      <c r="D40" s="163" t="s">
        <v>33</v>
      </c>
      <c r="E40" s="163" t="s">
        <v>33</v>
      </c>
    </row>
    <row r="41" spans="1:5" x14ac:dyDescent="0.2">
      <c r="A41" s="33" t="s">
        <v>569</v>
      </c>
      <c r="B41" s="163" t="s">
        <v>36</v>
      </c>
      <c r="C41" s="163" t="s">
        <v>36</v>
      </c>
      <c r="D41" s="163" t="s">
        <v>36</v>
      </c>
      <c r="E41" s="163" t="s">
        <v>36</v>
      </c>
    </row>
    <row r="42" spans="1:5" x14ac:dyDescent="0.2">
      <c r="A42" s="33" t="s">
        <v>568</v>
      </c>
      <c r="B42" s="33" t="s">
        <v>742</v>
      </c>
      <c r="C42" s="33" t="s">
        <v>742</v>
      </c>
      <c r="D42" s="33" t="s">
        <v>742</v>
      </c>
      <c r="E42" s="33" t="s">
        <v>742</v>
      </c>
    </row>
    <row r="43" spans="1:5" x14ac:dyDescent="0.2">
      <c r="A43" s="38" t="s">
        <v>622</v>
      </c>
      <c r="B43" s="33" t="s">
        <v>9</v>
      </c>
      <c r="C43" s="33" t="s">
        <v>9</v>
      </c>
      <c r="D43" s="33" t="s">
        <v>9</v>
      </c>
      <c r="E43" s="33" t="s">
        <v>9</v>
      </c>
    </row>
    <row r="44" spans="1:5" x14ac:dyDescent="0.2">
      <c r="A44" s="38" t="s">
        <v>623</v>
      </c>
      <c r="B44" s="33" t="s">
        <v>8</v>
      </c>
      <c r="C44" s="33" t="s">
        <v>8</v>
      </c>
      <c r="D44" s="33" t="s">
        <v>8</v>
      </c>
      <c r="E44" s="33" t="s">
        <v>8</v>
      </c>
    </row>
    <row r="45" spans="1:5" x14ac:dyDescent="0.2">
      <c r="A45" s="38" t="s">
        <v>624</v>
      </c>
      <c r="B45" s="33" t="s">
        <v>7</v>
      </c>
      <c r="C45" s="33" t="s">
        <v>7</v>
      </c>
      <c r="D45" s="33" t="s">
        <v>7</v>
      </c>
      <c r="E45" s="33" t="s">
        <v>7</v>
      </c>
    </row>
    <row r="46" spans="1:5" x14ac:dyDescent="0.2">
      <c r="A46" s="38" t="s">
        <v>691</v>
      </c>
      <c r="B46" s="38" t="s">
        <v>741</v>
      </c>
      <c r="C46" s="38" t="s">
        <v>741</v>
      </c>
      <c r="D46" s="38" t="s">
        <v>741</v>
      </c>
      <c r="E46" s="38" t="s">
        <v>741</v>
      </c>
    </row>
    <row r="47" spans="1:5" x14ac:dyDescent="0.2">
      <c r="A47" s="38" t="s">
        <v>625</v>
      </c>
      <c r="B47" s="163" t="s">
        <v>33</v>
      </c>
      <c r="C47" s="163" t="s">
        <v>33</v>
      </c>
      <c r="D47" s="163" t="s">
        <v>33</v>
      </c>
      <c r="E47" s="163" t="s">
        <v>33</v>
      </c>
    </row>
    <row r="48" spans="1:5" x14ac:dyDescent="0.2">
      <c r="A48" s="38" t="s">
        <v>692</v>
      </c>
      <c r="B48" s="163" t="s">
        <v>36</v>
      </c>
      <c r="C48" s="163" t="s">
        <v>36</v>
      </c>
      <c r="D48" s="163" t="s">
        <v>36</v>
      </c>
      <c r="E48" s="163" t="s">
        <v>36</v>
      </c>
    </row>
    <row r="49" spans="1:5" x14ac:dyDescent="0.2">
      <c r="A49" s="38" t="s">
        <v>625</v>
      </c>
      <c r="B49" s="33" t="s">
        <v>742</v>
      </c>
      <c r="C49" s="33" t="s">
        <v>742</v>
      </c>
      <c r="D49" s="33" t="s">
        <v>742</v>
      </c>
      <c r="E49" s="33" t="s">
        <v>742</v>
      </c>
    </row>
    <row r="50" spans="1:5" x14ac:dyDescent="0.2">
      <c r="A50" s="38" t="s">
        <v>661</v>
      </c>
      <c r="B50" s="33" t="s">
        <v>9</v>
      </c>
      <c r="C50" s="33" t="s">
        <v>9</v>
      </c>
      <c r="D50" s="33" t="s">
        <v>9</v>
      </c>
      <c r="E50" s="33" t="s">
        <v>9</v>
      </c>
    </row>
    <row r="51" spans="1:5" x14ac:dyDescent="0.2">
      <c r="A51" s="38" t="s">
        <v>662</v>
      </c>
      <c r="B51" s="33" t="s">
        <v>8</v>
      </c>
      <c r="C51" s="33" t="s">
        <v>8</v>
      </c>
      <c r="D51" s="33" t="s">
        <v>8</v>
      </c>
      <c r="E51" s="33" t="s">
        <v>8</v>
      </c>
    </row>
    <row r="52" spans="1:5" x14ac:dyDescent="0.2">
      <c r="A52" s="38" t="s">
        <v>651</v>
      </c>
      <c r="B52" s="33" t="s">
        <v>7</v>
      </c>
      <c r="C52" s="33" t="s">
        <v>7</v>
      </c>
      <c r="D52" s="33" t="s">
        <v>7</v>
      </c>
      <c r="E52" s="33" t="s">
        <v>7</v>
      </c>
    </row>
    <row r="53" spans="1:5" x14ac:dyDescent="0.2">
      <c r="A53" s="38" t="s">
        <v>656</v>
      </c>
      <c r="B53" s="38" t="s">
        <v>741</v>
      </c>
      <c r="C53" s="38" t="s">
        <v>741</v>
      </c>
      <c r="D53" s="38" t="s">
        <v>741</v>
      </c>
      <c r="E53" s="38" t="s">
        <v>741</v>
      </c>
    </row>
    <row r="54" spans="1:5" x14ac:dyDescent="0.2">
      <c r="A54" s="38" t="s">
        <v>663</v>
      </c>
      <c r="B54" s="163" t="s">
        <v>33</v>
      </c>
      <c r="C54" s="163" t="s">
        <v>33</v>
      </c>
      <c r="D54" s="163" t="s">
        <v>33</v>
      </c>
      <c r="E54" s="163" t="s">
        <v>33</v>
      </c>
    </row>
    <row r="55" spans="1:5" x14ac:dyDescent="0.2">
      <c r="A55" s="38" t="s">
        <v>664</v>
      </c>
      <c r="B55" s="163" t="s">
        <v>36</v>
      </c>
      <c r="C55" s="163" t="s">
        <v>36</v>
      </c>
      <c r="D55" s="163" t="s">
        <v>36</v>
      </c>
      <c r="E55" s="163" t="s">
        <v>36</v>
      </c>
    </row>
    <row r="56" spans="1:5" x14ac:dyDescent="0.2">
      <c r="A56" s="38" t="s">
        <v>657</v>
      </c>
      <c r="B56" s="33" t="s">
        <v>742</v>
      </c>
      <c r="C56" s="33" t="s">
        <v>742</v>
      </c>
      <c r="D56" s="33" t="s">
        <v>742</v>
      </c>
      <c r="E56" s="33" t="s">
        <v>742</v>
      </c>
    </row>
    <row r="57" spans="1:5" x14ac:dyDescent="0.2">
      <c r="A57" s="38" t="s">
        <v>611</v>
      </c>
      <c r="B57" s="38" t="s">
        <v>607</v>
      </c>
      <c r="C57" s="38" t="s">
        <v>615</v>
      </c>
      <c r="D57" s="38" t="s">
        <v>633</v>
      </c>
      <c r="E57" s="38" t="s">
        <v>1116</v>
      </c>
    </row>
    <row r="58" spans="1:5" x14ac:dyDescent="0.2">
      <c r="A58" s="33">
        <v>1</v>
      </c>
      <c r="B58" s="38" t="s">
        <v>4</v>
      </c>
      <c r="C58" s="38" t="s">
        <v>4</v>
      </c>
      <c r="D58" s="38" t="s">
        <v>4</v>
      </c>
      <c r="E58" s="38" t="s">
        <v>715</v>
      </c>
    </row>
    <row r="59" spans="1:5" x14ac:dyDescent="0.2">
      <c r="A59" s="33">
        <v>2</v>
      </c>
      <c r="B59" s="38" t="s">
        <v>3</v>
      </c>
      <c r="C59" s="38" t="s">
        <v>712</v>
      </c>
      <c r="D59" s="38" t="s">
        <v>712</v>
      </c>
      <c r="E59" s="38" t="s">
        <v>716</v>
      </c>
    </row>
    <row r="60" spans="1:5" x14ac:dyDescent="0.2">
      <c r="A60" s="33">
        <v>3</v>
      </c>
      <c r="B60" s="33" t="s">
        <v>5</v>
      </c>
      <c r="C60" s="38" t="s">
        <v>5</v>
      </c>
      <c r="D60" s="38" t="s">
        <v>5</v>
      </c>
      <c r="E60" s="38" t="s">
        <v>5</v>
      </c>
    </row>
    <row r="61" spans="1:5" x14ac:dyDescent="0.2">
      <c r="A61" s="33">
        <v>4</v>
      </c>
      <c r="B61" s="33" t="s">
        <v>6</v>
      </c>
      <c r="C61" s="38" t="s">
        <v>713</v>
      </c>
      <c r="D61" s="38" t="s">
        <v>713</v>
      </c>
      <c r="E61" s="38" t="s">
        <v>713</v>
      </c>
    </row>
    <row r="62" spans="1:5" x14ac:dyDescent="0.2">
      <c r="A62" s="33">
        <v>5</v>
      </c>
      <c r="B62" s="33" t="s">
        <v>34</v>
      </c>
      <c r="C62" s="38" t="s">
        <v>34</v>
      </c>
      <c r="D62" s="38" t="s">
        <v>667</v>
      </c>
      <c r="E62" s="38" t="s">
        <v>718</v>
      </c>
    </row>
    <row r="63" spans="1:5" x14ac:dyDescent="0.2">
      <c r="A63" s="33">
        <v>6</v>
      </c>
      <c r="B63" s="33" t="s">
        <v>35</v>
      </c>
      <c r="C63" s="38" t="s">
        <v>719</v>
      </c>
      <c r="D63" s="38" t="s">
        <v>714</v>
      </c>
      <c r="E63" s="38" t="s">
        <v>717</v>
      </c>
    </row>
    <row r="64" spans="1:5" x14ac:dyDescent="0.2">
      <c r="A64" s="33">
        <v>7</v>
      </c>
      <c r="B64" s="33" t="s">
        <v>667</v>
      </c>
      <c r="C64" s="38" t="s">
        <v>667</v>
      </c>
      <c r="D64" s="38" t="s">
        <v>667</v>
      </c>
      <c r="E64" s="38" t="s">
        <v>667</v>
      </c>
    </row>
    <row r="65" spans="1:5" x14ac:dyDescent="0.2">
      <c r="A65" s="33">
        <v>8</v>
      </c>
      <c r="B65" s="33" t="str">
        <f>""</f>
        <v/>
      </c>
      <c r="C65" s="33" t="str">
        <f>""</f>
        <v/>
      </c>
      <c r="D65" s="33" t="str">
        <f>""</f>
        <v/>
      </c>
      <c r="E65" s="33" t="str">
        <f>""</f>
        <v/>
      </c>
    </row>
    <row r="66" spans="1:5" x14ac:dyDescent="0.2">
      <c r="A66" s="38" t="s">
        <v>715</v>
      </c>
      <c r="B66" s="33" t="s">
        <v>9</v>
      </c>
      <c r="C66" s="163" t="s">
        <v>745</v>
      </c>
      <c r="D66" s="38" t="s">
        <v>622</v>
      </c>
      <c r="E66" s="38" t="s">
        <v>661</v>
      </c>
    </row>
    <row r="67" spans="1:5" x14ac:dyDescent="0.2">
      <c r="A67" s="38" t="s">
        <v>712</v>
      </c>
      <c r="B67" s="33" t="s">
        <v>8</v>
      </c>
      <c r="C67" s="33" t="s">
        <v>565</v>
      </c>
      <c r="D67" s="38" t="s">
        <v>623</v>
      </c>
      <c r="E67" s="38" t="s">
        <v>662</v>
      </c>
    </row>
    <row r="68" spans="1:5" x14ac:dyDescent="0.2">
      <c r="A68" s="38" t="s">
        <v>716</v>
      </c>
      <c r="B68" s="33" t="s">
        <v>8</v>
      </c>
      <c r="C68" s="33" t="s">
        <v>565</v>
      </c>
      <c r="D68" s="38" t="s">
        <v>623</v>
      </c>
      <c r="E68" s="38" t="s">
        <v>662</v>
      </c>
    </row>
    <row r="69" spans="1:5" x14ac:dyDescent="0.2">
      <c r="A69" s="38" t="s">
        <v>713</v>
      </c>
      <c r="B69" s="38" t="s">
        <v>10</v>
      </c>
      <c r="C69" s="33" t="s">
        <v>567</v>
      </c>
      <c r="D69" s="38" t="s">
        <v>691</v>
      </c>
      <c r="E69" s="38" t="s">
        <v>656</v>
      </c>
    </row>
    <row r="70" spans="1:5" x14ac:dyDescent="0.2">
      <c r="A70" s="38" t="s">
        <v>717</v>
      </c>
      <c r="B70" s="33" t="s">
        <v>33</v>
      </c>
      <c r="C70" s="33" t="s">
        <v>568</v>
      </c>
      <c r="D70" s="38" t="s">
        <v>625</v>
      </c>
      <c r="E70" s="38" t="s">
        <v>663</v>
      </c>
    </row>
    <row r="71" spans="1:5" x14ac:dyDescent="0.2">
      <c r="A71" s="38" t="s">
        <v>718</v>
      </c>
      <c r="B71" s="33" t="s">
        <v>36</v>
      </c>
      <c r="C71" s="33" t="s">
        <v>569</v>
      </c>
      <c r="D71" s="38" t="s">
        <v>692</v>
      </c>
      <c r="E71" s="38" t="s">
        <v>664</v>
      </c>
    </row>
    <row r="72" spans="1:5" x14ac:dyDescent="0.2">
      <c r="A72" s="38" t="s">
        <v>719</v>
      </c>
      <c r="B72" s="33" t="s">
        <v>36</v>
      </c>
      <c r="C72" s="33" t="s">
        <v>569</v>
      </c>
      <c r="D72" s="38" t="s">
        <v>692</v>
      </c>
      <c r="E72" s="38" t="s">
        <v>664</v>
      </c>
    </row>
    <row r="73" spans="1:5" x14ac:dyDescent="0.2">
      <c r="A73" s="33" t="s">
        <v>746</v>
      </c>
      <c r="B73" s="33" t="s">
        <v>747</v>
      </c>
      <c r="C73" s="33" t="s">
        <v>748</v>
      </c>
      <c r="D73" s="33" t="s">
        <v>749</v>
      </c>
      <c r="E73" s="33" t="s">
        <v>750</v>
      </c>
    </row>
    <row r="74" spans="1:5" x14ac:dyDescent="0.2">
      <c r="A74" s="163" t="s">
        <v>850</v>
      </c>
      <c r="B74" s="163" t="s">
        <v>851</v>
      </c>
      <c r="C74" s="163" t="s">
        <v>854</v>
      </c>
      <c r="D74" s="33" t="s">
        <v>853</v>
      </c>
      <c r="E74" s="33" t="s">
        <v>852</v>
      </c>
    </row>
    <row r="75" spans="1:5" x14ac:dyDescent="0.2">
      <c r="A75" s="33" t="s">
        <v>859</v>
      </c>
      <c r="B75" s="33" t="s">
        <v>855</v>
      </c>
      <c r="C75" s="33" t="s">
        <v>856</v>
      </c>
      <c r="D75" s="33" t="s">
        <v>858</v>
      </c>
      <c r="E75" s="33" t="s">
        <v>857</v>
      </c>
    </row>
    <row r="76" spans="1:5" x14ac:dyDescent="0.2">
      <c r="A76" s="33" t="s">
        <v>860</v>
      </c>
      <c r="B76" s="33" t="s">
        <v>862</v>
      </c>
      <c r="C76" s="33" t="s">
        <v>863</v>
      </c>
      <c r="D76" s="33" t="s">
        <v>864</v>
      </c>
      <c r="E76" s="33" t="s">
        <v>865</v>
      </c>
    </row>
    <row r="77" spans="1:5" x14ac:dyDescent="0.2">
      <c r="A77" s="33" t="s">
        <v>861</v>
      </c>
      <c r="B77" s="33" t="s">
        <v>866</v>
      </c>
      <c r="C77" s="33" t="s">
        <v>867</v>
      </c>
      <c r="D77" s="33" t="s">
        <v>869</v>
      </c>
      <c r="E77" s="33" t="s">
        <v>868</v>
      </c>
    </row>
    <row r="78" spans="1:5" x14ac:dyDescent="0.2">
      <c r="A78" s="33" t="s">
        <v>871</v>
      </c>
      <c r="B78" s="33" t="s">
        <v>872</v>
      </c>
      <c r="C78" s="33" t="s">
        <v>873</v>
      </c>
      <c r="D78" s="33" t="s">
        <v>874</v>
      </c>
      <c r="E78" s="33" t="s">
        <v>875</v>
      </c>
    </row>
  </sheetData>
  <sheetProtection password="DBEF" sheet="1" objects="1" scenarios="1"/>
  <sortState ref="B13:B29">
    <sortCondition ref="B1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D223"/>
  <sheetViews>
    <sheetView zoomScale="70" zoomScaleNormal="70" workbookViewId="0">
      <pane ySplit="1" topLeftCell="A2" activePane="bottomLeft" state="frozen"/>
      <selection activeCell="B7" sqref="B7"/>
      <selection pane="bottomLeft" activeCell="AP6" sqref="AP6"/>
    </sheetView>
  </sheetViews>
  <sheetFormatPr defaultRowHeight="12.75" x14ac:dyDescent="0.2"/>
  <cols>
    <col min="1" max="1" width="32" style="53" bestFit="1" customWidth="1"/>
    <col min="2" max="2" width="5.85546875" style="55" bestFit="1" customWidth="1"/>
    <col min="3" max="3" width="9.140625" style="53"/>
    <col min="4" max="4" width="6.140625" style="130" bestFit="1" customWidth="1"/>
    <col min="5" max="5" width="5.140625" style="130" customWidth="1"/>
    <col min="6" max="6" width="6.140625" style="130" bestFit="1" customWidth="1"/>
    <col min="7" max="9" width="5.140625" style="130" customWidth="1"/>
    <col min="10" max="10" width="5.28515625" style="55" customWidth="1"/>
    <col min="11" max="11" width="5.28515625" style="131" customWidth="1"/>
    <col min="12" max="22" width="5.28515625" style="55" customWidth="1"/>
    <col min="23" max="23" width="5.28515625" style="132" customWidth="1"/>
    <col min="24" max="25" width="5.28515625" style="119" customWidth="1"/>
    <col min="26" max="26" width="5.28515625" style="53" customWidth="1"/>
    <col min="27" max="27" width="6.140625" style="130" bestFit="1" customWidth="1"/>
    <col min="28" max="28" width="9.140625" style="133"/>
    <col min="29" max="33" width="5.28515625" style="87" customWidth="1"/>
    <col min="34" max="34" width="16.140625" style="87" customWidth="1"/>
    <col min="35" max="35" width="9.140625" style="53"/>
    <col min="36" max="36" width="13.42578125" style="53" bestFit="1" customWidth="1"/>
    <col min="37" max="38" width="9.140625" style="55"/>
    <col min="39" max="39" width="11.140625" style="55" bestFit="1" customWidth="1"/>
    <col min="40" max="42" width="9.140625" style="55"/>
    <col min="43" max="46" width="9.140625" style="53"/>
    <col min="47" max="47" width="9.140625" style="55"/>
    <col min="48" max="48" width="9.140625" style="53" customWidth="1"/>
    <col min="49" max="49" width="15.28515625" style="53" customWidth="1"/>
    <col min="50" max="50" width="23.85546875" style="53" bestFit="1" customWidth="1"/>
    <col min="51" max="51" width="19.140625" style="55" hidden="1" customWidth="1"/>
    <col min="52" max="52" width="10.28515625" style="53" hidden="1" customWidth="1"/>
    <col min="54" max="54" width="9.140625" style="53"/>
    <col min="55" max="55" width="9.140625" style="55"/>
    <col min="56" max="56" width="19.140625" style="55" bestFit="1" customWidth="1"/>
    <col min="57" max="16384" width="9.140625" style="53"/>
  </cols>
  <sheetData>
    <row r="1" spans="1:54" x14ac:dyDescent="0.2">
      <c r="A1" s="45" t="s">
        <v>22</v>
      </c>
      <c r="B1" s="89" t="s">
        <v>83</v>
      </c>
      <c r="C1" s="90">
        <v>1</v>
      </c>
      <c r="D1" s="91" t="s">
        <v>708</v>
      </c>
      <c r="E1" s="91" t="s">
        <v>535</v>
      </c>
      <c r="F1" s="91" t="s">
        <v>536</v>
      </c>
      <c r="G1" s="91" t="s">
        <v>537</v>
      </c>
      <c r="H1" s="91" t="s">
        <v>538</v>
      </c>
      <c r="I1" s="91"/>
      <c r="J1" s="92" t="s">
        <v>708</v>
      </c>
      <c r="K1" s="93">
        <v>16</v>
      </c>
      <c r="L1" s="92">
        <v>15</v>
      </c>
      <c r="M1" s="92">
        <v>14</v>
      </c>
      <c r="N1" s="92">
        <v>13</v>
      </c>
      <c r="O1" s="92">
        <v>12</v>
      </c>
      <c r="P1" s="92">
        <v>11</v>
      </c>
      <c r="Q1" s="92">
        <v>10</v>
      </c>
      <c r="R1" s="92">
        <v>9</v>
      </c>
      <c r="S1" s="92">
        <v>8</v>
      </c>
      <c r="T1" s="92">
        <v>7</v>
      </c>
      <c r="U1" s="92">
        <v>6</v>
      </c>
      <c r="V1" s="92" t="s">
        <v>708</v>
      </c>
      <c r="W1" s="93">
        <v>8</v>
      </c>
      <c r="X1" s="94">
        <v>7</v>
      </c>
      <c r="Y1" s="94">
        <v>6</v>
      </c>
      <c r="Z1" s="94">
        <v>0</v>
      </c>
      <c r="AA1" s="91" t="s">
        <v>708</v>
      </c>
      <c r="AB1" s="91" t="s">
        <v>0</v>
      </c>
      <c r="AC1" s="95"/>
      <c r="AD1" s="95"/>
      <c r="AE1" s="95"/>
      <c r="AF1" s="95"/>
      <c r="AG1" s="95"/>
      <c r="AH1" s="95"/>
    </row>
    <row r="2" spans="1:54" x14ac:dyDescent="0.2">
      <c r="A2" s="45" t="s">
        <v>84</v>
      </c>
      <c r="B2" s="89" t="s">
        <v>271</v>
      </c>
      <c r="C2" s="90">
        <v>2</v>
      </c>
      <c r="D2" s="91" t="str">
        <f>$AJ$2&amp;I2</f>
        <v>M1</v>
      </c>
      <c r="E2" s="91">
        <f t="shared" ref="E2:E17" si="0">IFERROR(HLOOKUP($AL$2,$J$1:$U$81,C2,FALSE),"")</f>
        <v>1</v>
      </c>
      <c r="F2" s="91">
        <f t="shared" ref="F2:F17" si="1">IFERROR(HLOOKUP($AM$2,$V$1:$Y$97,C2,FALSE),"")</f>
        <v>1</v>
      </c>
      <c r="G2" s="91">
        <v>5</v>
      </c>
      <c r="H2" s="91">
        <v>10</v>
      </c>
      <c r="I2" s="91">
        <v>1</v>
      </c>
      <c r="J2" s="46" t="str">
        <f>D2</f>
        <v>M1</v>
      </c>
      <c r="K2" s="47">
        <v>1</v>
      </c>
      <c r="L2" s="46">
        <v>1</v>
      </c>
      <c r="M2" s="46">
        <v>1</v>
      </c>
      <c r="N2" s="46">
        <v>1</v>
      </c>
      <c r="O2" s="46">
        <v>1</v>
      </c>
      <c r="P2" s="46">
        <v>1</v>
      </c>
      <c r="Q2" s="46">
        <v>1</v>
      </c>
      <c r="R2" s="46">
        <v>1</v>
      </c>
      <c r="S2" s="46">
        <v>1</v>
      </c>
      <c r="T2" s="46">
        <v>1</v>
      </c>
      <c r="U2" s="46">
        <v>1</v>
      </c>
      <c r="V2" s="46" t="str">
        <f>D2</f>
        <v>M1</v>
      </c>
      <c r="W2" s="47">
        <v>1</v>
      </c>
      <c r="X2" s="48">
        <v>1</v>
      </c>
      <c r="Y2" s="48">
        <v>1</v>
      </c>
      <c r="Z2" s="48">
        <v>0</v>
      </c>
      <c r="AA2" s="91" t="s">
        <v>1099</v>
      </c>
      <c r="AB2" s="91">
        <v>1</v>
      </c>
      <c r="AC2" s="95">
        <f ca="1">IFERROR(INDEX(AB$2:AB$113,MATCH(AE2,AA$2:AA$113,0)),100000)</f>
        <v>100000</v>
      </c>
      <c r="AD2" s="95" t="s">
        <v>877</v>
      </c>
      <c r="AE2" s="95" t="str">
        <f ca="1">INDIRECT($AP$5&amp;AD2)</f>
        <v/>
      </c>
      <c r="AF2" s="95">
        <f ca="1">SMALL(AC$2:AC$97,AB2)</f>
        <v>17</v>
      </c>
      <c r="AG2" s="95" t="str">
        <f ca="1">IF(AF2&gt;1000," ",INDEX($AA$2:$AA$113,MATCH(AF2,$AB$2:$AB$113,0)))</f>
        <v>M1</v>
      </c>
      <c r="AH2" s="95" t="str">
        <f ca="1">VLOOKUP(AG2,INDIRECT(VLOOKUP($AP$6,$AV$6:$BB$8,7,FALSE)),6,FALSE)</f>
        <v>Korbař Bohumil</v>
      </c>
      <c r="AI2" s="96">
        <v>1</v>
      </c>
      <c r="AJ2" s="96" t="str">
        <f>VLOOKUP(AI2,Translation!$A$2:$E$129,Data!$AP$2,FALSE)</f>
        <v>M</v>
      </c>
      <c r="AK2" s="96" t="str">
        <f>VLOOKUP(AJ2,Translation!$A$2:$E$129,Data!$AP$2,FALSE)</f>
        <v>Men</v>
      </c>
      <c r="AL2" s="96">
        <f t="shared" ref="AL2:AL7" si="2">IF(BA2&gt;16,16,BA2)</f>
        <v>16</v>
      </c>
      <c r="AM2" s="96">
        <f t="shared" ref="AM2:AM7" si="3">IF(AL2&gt;8,8,AL2)</f>
        <v>8</v>
      </c>
      <c r="AN2" s="96" t="str">
        <f t="shared" ref="AN2:AN7" si="4">AJ2</f>
        <v>M</v>
      </c>
      <c r="AO2" s="49" t="s">
        <v>586</v>
      </c>
      <c r="AP2" s="49">
        <f>VLOOKUP(Settings!C2,Data!$AQ$2:$AR$5,2,FALSE)</f>
        <v>2</v>
      </c>
      <c r="AQ2" s="50" t="s">
        <v>616</v>
      </c>
      <c r="AR2" s="50">
        <v>2</v>
      </c>
      <c r="AS2" s="50" t="s">
        <v>559</v>
      </c>
      <c r="AT2" s="97" t="s">
        <v>676</v>
      </c>
      <c r="AU2" s="97" t="str">
        <f>VLOOKUP(AT2,Translation!$A$1:$E$100,Data!$AP$2,FALSE)</f>
        <v>Enable</v>
      </c>
      <c r="AV2" s="97">
        <v>5</v>
      </c>
      <c r="AW2" s="98" t="s">
        <v>667</v>
      </c>
      <c r="AY2" s="55" t="s">
        <v>751</v>
      </c>
      <c r="AZ2" s="219">
        <v>44034</v>
      </c>
      <c r="BA2" s="53">
        <f>IF($AP$6=3,COUNT(Absolute!A:A),IF($AP$6=2,COUNTIF('Start List'!G:G,AJ2),'Start List'!K9))</f>
        <v>18</v>
      </c>
    </row>
    <row r="3" spans="1:54" x14ac:dyDescent="0.2">
      <c r="A3" s="45" t="s">
        <v>87</v>
      </c>
      <c r="B3" s="89" t="s">
        <v>274</v>
      </c>
      <c r="C3" s="90">
        <v>3</v>
      </c>
      <c r="D3" s="91" t="str">
        <f t="shared" ref="D3:D17" si="5">$AJ$2&amp;I3</f>
        <v>M16</v>
      </c>
      <c r="E3" s="91">
        <f t="shared" si="0"/>
        <v>2</v>
      </c>
      <c r="F3" s="91">
        <f t="shared" si="1"/>
        <v>1</v>
      </c>
      <c r="G3" s="91">
        <v>5</v>
      </c>
      <c r="H3" s="91">
        <v>10</v>
      </c>
      <c r="I3" s="91">
        <v>16</v>
      </c>
      <c r="J3" s="46" t="str">
        <f t="shared" ref="J3:J66" si="6">D3</f>
        <v>M16</v>
      </c>
      <c r="K3" s="47">
        <v>2</v>
      </c>
      <c r="L3" s="46" t="str">
        <f>""</f>
        <v/>
      </c>
      <c r="M3" s="46" t="str">
        <f>""</f>
        <v/>
      </c>
      <c r="N3" s="46" t="str">
        <f>""</f>
        <v/>
      </c>
      <c r="O3" s="46" t="str">
        <f>""</f>
        <v/>
      </c>
      <c r="P3" s="46" t="str">
        <f>""</f>
        <v/>
      </c>
      <c r="Q3" s="46" t="str">
        <f>""</f>
        <v/>
      </c>
      <c r="R3" s="46" t="str">
        <f>""</f>
        <v/>
      </c>
      <c r="S3" s="46" t="str">
        <f>""</f>
        <v/>
      </c>
      <c r="T3" s="46" t="str">
        <f>""</f>
        <v/>
      </c>
      <c r="U3" s="46" t="str">
        <f>""</f>
        <v/>
      </c>
      <c r="V3" s="46" t="str">
        <f t="shared" ref="V3:V66" si="7">D3</f>
        <v>M16</v>
      </c>
      <c r="W3" s="47">
        <v>1</v>
      </c>
      <c r="X3" s="48">
        <v>1</v>
      </c>
      <c r="Y3" s="48">
        <v>1</v>
      </c>
      <c r="Z3" s="48">
        <v>0</v>
      </c>
      <c r="AA3" s="91" t="s">
        <v>1105</v>
      </c>
      <c r="AB3" s="91">
        <v>2</v>
      </c>
      <c r="AC3" s="95">
        <f t="shared" ref="AC3:AC66" ca="1" si="8">IFERROR(INDEX(AB$2:AB$113,MATCH(AE3,AA$2:AA$113,0)),100000)</f>
        <v>17</v>
      </c>
      <c r="AD3" s="95" t="s">
        <v>878</v>
      </c>
      <c r="AE3" s="95" t="str">
        <f ca="1">INDIRECT($AP$5&amp;AD3)</f>
        <v>M1</v>
      </c>
      <c r="AF3" s="95">
        <f t="shared" ref="AF3:AF66" ca="1" si="9">SMALL(AC$2:AC$97,AB3)</f>
        <v>18</v>
      </c>
      <c r="AG3" s="95" t="str">
        <f t="shared" ref="AG3:AG66" ca="1" si="10">IF(AF3&gt;1000," ",INDEX($AA$2:$AA$113,MATCH(AF3,$AB$2:$AB$113,0)))</f>
        <v>M2</v>
      </c>
      <c r="AH3" s="95" t="str">
        <f t="shared" ref="AH3:AH66" ca="1" si="11">VLOOKUP(AG3,INDIRECT(VLOOKUP($AP$6,$AV$6:$BB$8,7,FALSE)),6,FALSE)</f>
        <v>Pereglin Domagoj</v>
      </c>
      <c r="AI3" s="96">
        <v>2</v>
      </c>
      <c r="AJ3" s="96" t="str">
        <f>VLOOKUP(AI3,Translation!$A$2:$E$129,Data!$AP$2,FALSE)</f>
        <v>W</v>
      </c>
      <c r="AK3" s="96" t="str">
        <f>VLOOKUP(AJ3,Translation!$A$2:$E$129,Data!$AP$2,FALSE)</f>
        <v>Women</v>
      </c>
      <c r="AL3" s="96">
        <f t="shared" si="2"/>
        <v>14</v>
      </c>
      <c r="AM3" s="96">
        <f t="shared" si="3"/>
        <v>8</v>
      </c>
      <c r="AN3" s="96" t="str">
        <f t="shared" si="4"/>
        <v>W</v>
      </c>
      <c r="AO3" s="49" t="s">
        <v>673</v>
      </c>
      <c r="AP3" s="49">
        <f>VLOOKUP(Settings!C3,Data!$AT$4:$AU$5,2,FALSE)</f>
        <v>3</v>
      </c>
      <c r="AQ3" s="50" t="s">
        <v>617</v>
      </c>
      <c r="AR3" s="50">
        <v>3</v>
      </c>
      <c r="AS3" s="50" t="s">
        <v>557</v>
      </c>
      <c r="AT3" s="97" t="s">
        <v>677</v>
      </c>
      <c r="AU3" s="97" t="str">
        <f>VLOOKUP(AT3,Translation!$A$1:$E$100,Data!$AP$2,FALSE)</f>
        <v>Disable</v>
      </c>
      <c r="AV3" s="97">
        <v>6</v>
      </c>
      <c r="AW3" s="98">
        <v>0</v>
      </c>
      <c r="AY3" s="55" t="s">
        <v>752</v>
      </c>
      <c r="AZ3" s="219">
        <v>44041</v>
      </c>
      <c r="BA3" s="53">
        <f>IF($AP$6=3,COUNT(Absolute!A:A),IF($AP$6=2,COUNTIF('Start List'!G:G,AJ3),'Start List'!K10))</f>
        <v>14</v>
      </c>
    </row>
    <row r="4" spans="1:54" x14ac:dyDescent="0.2">
      <c r="A4" s="45" t="s">
        <v>88</v>
      </c>
      <c r="B4" s="89" t="s">
        <v>275</v>
      </c>
      <c r="C4" s="90">
        <v>4</v>
      </c>
      <c r="D4" s="91" t="str">
        <f t="shared" si="5"/>
        <v>M8</v>
      </c>
      <c r="E4" s="91">
        <f t="shared" si="0"/>
        <v>3</v>
      </c>
      <c r="F4" s="91">
        <f t="shared" si="1"/>
        <v>2</v>
      </c>
      <c r="G4" s="91">
        <v>5</v>
      </c>
      <c r="H4" s="91">
        <v>10</v>
      </c>
      <c r="I4" s="91">
        <v>8</v>
      </c>
      <c r="J4" s="46" t="str">
        <f t="shared" si="6"/>
        <v>M8</v>
      </c>
      <c r="K4" s="47">
        <v>3</v>
      </c>
      <c r="L4" s="46">
        <v>2</v>
      </c>
      <c r="M4" s="46">
        <v>2</v>
      </c>
      <c r="N4" s="46">
        <v>2</v>
      </c>
      <c r="O4" s="46">
        <v>2</v>
      </c>
      <c r="P4" s="46">
        <v>2</v>
      </c>
      <c r="Q4" s="46">
        <v>2</v>
      </c>
      <c r="R4" s="46">
        <v>2</v>
      </c>
      <c r="S4" s="46">
        <v>2</v>
      </c>
      <c r="T4" s="46" t="str">
        <f>""</f>
        <v/>
      </c>
      <c r="U4" s="46" t="str">
        <f>""</f>
        <v/>
      </c>
      <c r="V4" s="46" t="str">
        <f t="shared" si="7"/>
        <v>M8</v>
      </c>
      <c r="W4" s="47">
        <v>2</v>
      </c>
      <c r="X4" s="46" t="str">
        <f>""</f>
        <v/>
      </c>
      <c r="Y4" s="46" t="str">
        <f>""</f>
        <v/>
      </c>
      <c r="Z4" s="48">
        <v>0</v>
      </c>
      <c r="AA4" s="91" t="s">
        <v>1109</v>
      </c>
      <c r="AB4" s="91">
        <v>3</v>
      </c>
      <c r="AC4" s="95">
        <f t="shared" ca="1" si="8"/>
        <v>18</v>
      </c>
      <c r="AD4" s="95" t="s">
        <v>879</v>
      </c>
      <c r="AE4" s="95" t="str">
        <f t="shared" ref="AE4:AE66" ca="1" si="12">INDIRECT($AP$5&amp;AD4)</f>
        <v>M2</v>
      </c>
      <c r="AF4" s="95">
        <f t="shared" ca="1" si="9"/>
        <v>19</v>
      </c>
      <c r="AG4" s="95" t="str">
        <f t="shared" ca="1" si="10"/>
        <v>M3</v>
      </c>
      <c r="AH4" s="95" t="str">
        <f t="shared" ca="1" si="11"/>
        <v>Oborovečki Martin</v>
      </c>
      <c r="AI4" s="96">
        <v>3</v>
      </c>
      <c r="AJ4" s="96" t="str">
        <f>VLOOKUP(AI4,Translation!$A$2:$E$129,Data!$AP$2,FALSE)</f>
        <v>J</v>
      </c>
      <c r="AK4" s="96" t="str">
        <f>VLOOKUP(AJ4,Translation!$A$2:$E$129,Data!$AP$2,FALSE)</f>
        <v>Juniors</v>
      </c>
      <c r="AL4" s="96">
        <f t="shared" si="2"/>
        <v>0</v>
      </c>
      <c r="AM4" s="96">
        <f t="shared" si="3"/>
        <v>0</v>
      </c>
      <c r="AN4" s="96" t="str">
        <f t="shared" si="4"/>
        <v>J</v>
      </c>
      <c r="AO4" s="49" t="s">
        <v>35</v>
      </c>
      <c r="AP4" s="49">
        <f>VLOOKUP(Settings!C9,Data!AU2:AV3,2,FALSE)</f>
        <v>5</v>
      </c>
      <c r="AQ4" s="50" t="s">
        <v>659</v>
      </c>
      <c r="AR4" s="50">
        <v>4</v>
      </c>
      <c r="AS4" s="50" t="s">
        <v>618</v>
      </c>
      <c r="AT4" s="99" t="s">
        <v>561</v>
      </c>
      <c r="AU4" s="99">
        <v>2</v>
      </c>
      <c r="AV4" s="53" t="s">
        <v>710</v>
      </c>
      <c r="AW4" s="100">
        <f>IFERROR(VLOOKUP(Settings!$C$11,Data!AY2:AZ100,2,FALSE),0)</f>
        <v>44062</v>
      </c>
      <c r="AY4" s="55" t="s">
        <v>753</v>
      </c>
      <c r="AZ4" s="219">
        <v>44048</v>
      </c>
      <c r="BA4" s="53">
        <f>IF($AP$6=3,COUNT(Absolute!A:A),IF($AP$6=2,COUNTIF('Start List'!G:G,AJ4),'Start List'!K11))</f>
        <v>0</v>
      </c>
    </row>
    <row r="5" spans="1:54" x14ac:dyDescent="0.2">
      <c r="A5" s="45" t="s">
        <v>95</v>
      </c>
      <c r="B5" s="89" t="s">
        <v>282</v>
      </c>
      <c r="C5" s="90">
        <v>5</v>
      </c>
      <c r="D5" s="91" t="str">
        <f t="shared" si="5"/>
        <v>M9</v>
      </c>
      <c r="E5" s="91">
        <f t="shared" si="0"/>
        <v>4</v>
      </c>
      <c r="F5" s="91">
        <f t="shared" si="1"/>
        <v>2</v>
      </c>
      <c r="G5" s="91">
        <v>5</v>
      </c>
      <c r="H5" s="91">
        <v>10</v>
      </c>
      <c r="I5" s="91">
        <v>9</v>
      </c>
      <c r="J5" s="46" t="str">
        <f t="shared" si="6"/>
        <v>M9</v>
      </c>
      <c r="K5" s="47">
        <v>4</v>
      </c>
      <c r="L5" s="46">
        <v>3</v>
      </c>
      <c r="M5" s="46">
        <v>3</v>
      </c>
      <c r="N5" s="46">
        <v>3</v>
      </c>
      <c r="O5" s="46">
        <v>3</v>
      </c>
      <c r="P5" s="46">
        <v>3</v>
      </c>
      <c r="Q5" s="46">
        <v>3</v>
      </c>
      <c r="R5" s="46">
        <v>3</v>
      </c>
      <c r="S5" s="46" t="str">
        <f>""</f>
        <v/>
      </c>
      <c r="T5" s="46" t="str">
        <f>""</f>
        <v/>
      </c>
      <c r="U5" s="46" t="str">
        <f>""</f>
        <v/>
      </c>
      <c r="V5" s="46" t="str">
        <f t="shared" si="7"/>
        <v>M9</v>
      </c>
      <c r="W5" s="47">
        <v>2</v>
      </c>
      <c r="X5" s="46" t="str">
        <f>""</f>
        <v/>
      </c>
      <c r="Y5" s="46" t="str">
        <f>""</f>
        <v/>
      </c>
      <c r="Z5" s="48">
        <v>0</v>
      </c>
      <c r="AA5" s="91" t="s">
        <v>1102</v>
      </c>
      <c r="AB5" s="91">
        <v>4</v>
      </c>
      <c r="AC5" s="95">
        <f t="shared" ca="1" si="8"/>
        <v>19</v>
      </c>
      <c r="AD5" s="95" t="s">
        <v>880</v>
      </c>
      <c r="AE5" s="95" t="str">
        <f t="shared" ca="1" si="12"/>
        <v>M3</v>
      </c>
      <c r="AF5" s="95">
        <f t="shared" ca="1" si="9"/>
        <v>20</v>
      </c>
      <c r="AG5" s="95" t="str">
        <f t="shared" ca="1" si="10"/>
        <v>M4</v>
      </c>
      <c r="AH5" s="95" t="str">
        <f t="shared" ca="1" si="11"/>
        <v>Sváb Sándor</v>
      </c>
      <c r="AI5" s="96">
        <v>4</v>
      </c>
      <c r="AJ5" s="96" t="str">
        <f>VLOOKUP(AI5,Translation!$A$2:$E$129,Data!$AP$2,FALSE)</f>
        <v>C</v>
      </c>
      <c r="AK5" s="96" t="str">
        <f>VLOOKUP(AJ5,Translation!$A$2:$E$129,Data!$AP$2,FALSE)</f>
        <v xml:space="preserve">Cadets  </v>
      </c>
      <c r="AL5" s="96">
        <f t="shared" si="2"/>
        <v>0</v>
      </c>
      <c r="AM5" s="96">
        <f t="shared" si="3"/>
        <v>0</v>
      </c>
      <c r="AN5" s="96" t="str">
        <f t="shared" si="4"/>
        <v>C</v>
      </c>
      <c r="AO5" s="49" t="s">
        <v>870</v>
      </c>
      <c r="AP5" s="49" t="str">
        <f>VLOOKUP(Settings!C10,Data!AU6:AW8,3,FALSE)</f>
        <v>'Men-Women'!</v>
      </c>
      <c r="AQ5" s="50" t="s">
        <v>660</v>
      </c>
      <c r="AR5" s="50">
        <v>5</v>
      </c>
      <c r="AS5" s="50" t="s">
        <v>619</v>
      </c>
      <c r="AT5" s="99" t="s">
        <v>562</v>
      </c>
      <c r="AU5" s="99">
        <v>3</v>
      </c>
      <c r="AV5" s="53" t="s">
        <v>711</v>
      </c>
      <c r="AW5" s="100">
        <f ca="1">NOW()</f>
        <v>44059.610003935188</v>
      </c>
      <c r="AY5" s="55" t="s">
        <v>754</v>
      </c>
      <c r="AZ5" s="219">
        <v>44055</v>
      </c>
      <c r="BA5" s="53">
        <f>IF($AP$6=3,COUNT(Absolute!A:A),IF($AP$6=2,COUNTIF('Start List'!G:G,AJ5),'Start List'!K12))</f>
        <v>0</v>
      </c>
    </row>
    <row r="6" spans="1:54" x14ac:dyDescent="0.2">
      <c r="A6" s="45" t="s">
        <v>89</v>
      </c>
      <c r="B6" s="89" t="s">
        <v>276</v>
      </c>
      <c r="C6" s="90">
        <v>6</v>
      </c>
      <c r="D6" s="91" t="str">
        <f t="shared" si="5"/>
        <v>M4</v>
      </c>
      <c r="E6" s="91">
        <f t="shared" si="0"/>
        <v>5</v>
      </c>
      <c r="F6" s="91">
        <f t="shared" si="1"/>
        <v>3</v>
      </c>
      <c r="G6" s="91">
        <v>6</v>
      </c>
      <c r="H6" s="91">
        <v>10</v>
      </c>
      <c r="I6" s="91">
        <v>4</v>
      </c>
      <c r="J6" s="46" t="str">
        <f t="shared" si="6"/>
        <v>M4</v>
      </c>
      <c r="K6" s="47">
        <v>5</v>
      </c>
      <c r="L6" s="46">
        <v>4</v>
      </c>
      <c r="M6" s="46">
        <v>4</v>
      </c>
      <c r="N6" s="46">
        <v>4</v>
      </c>
      <c r="O6" s="46">
        <v>4</v>
      </c>
      <c r="P6" s="46">
        <v>4</v>
      </c>
      <c r="Q6" s="46">
        <v>4</v>
      </c>
      <c r="R6" s="46">
        <v>4</v>
      </c>
      <c r="S6" s="46">
        <v>3</v>
      </c>
      <c r="T6" s="46">
        <v>2</v>
      </c>
      <c r="U6" s="46">
        <v>2</v>
      </c>
      <c r="V6" s="46" t="str">
        <f t="shared" si="7"/>
        <v>M4</v>
      </c>
      <c r="W6" s="47">
        <v>3</v>
      </c>
      <c r="X6" s="48">
        <v>2</v>
      </c>
      <c r="Y6" s="48">
        <v>2</v>
      </c>
      <c r="Z6" s="48">
        <v>0</v>
      </c>
      <c r="AA6" s="91" t="s">
        <v>1104</v>
      </c>
      <c r="AB6" s="91">
        <v>5</v>
      </c>
      <c r="AC6" s="95">
        <f t="shared" ca="1" si="8"/>
        <v>20</v>
      </c>
      <c r="AD6" s="95" t="s">
        <v>881</v>
      </c>
      <c r="AE6" s="95" t="str">
        <f t="shared" ca="1" si="12"/>
        <v>M4</v>
      </c>
      <c r="AF6" s="95">
        <f t="shared" ca="1" si="9"/>
        <v>21</v>
      </c>
      <c r="AG6" s="95" t="str">
        <f t="shared" ca="1" si="10"/>
        <v>M5</v>
      </c>
      <c r="AH6" s="95" t="str">
        <f t="shared" ca="1" si="11"/>
        <v>Petar Blagec</v>
      </c>
      <c r="AI6" s="96">
        <f>IF(AP4=5,5,7)</f>
        <v>5</v>
      </c>
      <c r="AJ6" s="96" t="str">
        <f>VLOOKUP(AI6,Translation!$A$2:$E$129,Data!$AP$2,FALSE)</f>
        <v>SM</v>
      </c>
      <c r="AK6" s="96" t="str">
        <f>VLOOKUP(AJ6,Translation!$A$2:$E$129,Data!$AP$2,FALSE)</f>
        <v>Senior Men</v>
      </c>
      <c r="AL6" s="96">
        <f t="shared" si="2"/>
        <v>0</v>
      </c>
      <c r="AM6" s="96">
        <f t="shared" si="3"/>
        <v>0</v>
      </c>
      <c r="AN6" s="96" t="str">
        <f t="shared" si="4"/>
        <v>SM</v>
      </c>
      <c r="AO6" s="49" t="s">
        <v>870</v>
      </c>
      <c r="AP6" s="49">
        <f>VLOOKUP(Settings!C10,Data!AU6:AW8,2,FALSE)</f>
        <v>2</v>
      </c>
      <c r="AQ6" s="50"/>
      <c r="AR6" s="102"/>
      <c r="AS6" s="102"/>
      <c r="AT6" s="220" t="s">
        <v>859</v>
      </c>
      <c r="AU6" s="221" t="str">
        <f>VLOOKUP(AT6,Translation!$A$1:$E$100,Data!$AP$2,FALSE)</f>
        <v>All Categories</v>
      </c>
      <c r="AV6" s="222">
        <v>1</v>
      </c>
      <c r="AW6" s="230" t="str">
        <f t="shared" ref="AW6" si="13">"'By Category'!"</f>
        <v>'By Category'!</v>
      </c>
      <c r="AX6" s="53" t="str">
        <f>AW6&amp;"$D$9:$L$139"</f>
        <v>'By Category'!$D$9:$L$139</v>
      </c>
      <c r="AY6" s="55" t="s">
        <v>755</v>
      </c>
      <c r="AZ6" s="219">
        <v>44062</v>
      </c>
      <c r="BA6" s="53">
        <f>IF($AP$6=3,COUNT(Absolute!A:A),IF($AP$6=2,COUNTIF('Start List'!G:G,AJ6),'Start List'!K13))</f>
        <v>0</v>
      </c>
      <c r="BB6" s="53" t="str">
        <f>AW6&amp;"$E$9:$J$139"</f>
        <v>'By Category'!$E$9:$J$139</v>
      </c>
    </row>
    <row r="7" spans="1:54" x14ac:dyDescent="0.2">
      <c r="A7" s="45" t="s">
        <v>90</v>
      </c>
      <c r="B7" s="89" t="s">
        <v>277</v>
      </c>
      <c r="C7" s="90">
        <v>7</v>
      </c>
      <c r="D7" s="91" t="str">
        <f t="shared" si="5"/>
        <v>M13</v>
      </c>
      <c r="E7" s="91">
        <f t="shared" si="0"/>
        <v>6</v>
      </c>
      <c r="F7" s="91">
        <f t="shared" si="1"/>
        <v>3</v>
      </c>
      <c r="G7" s="91">
        <v>6</v>
      </c>
      <c r="H7" s="91">
        <v>10</v>
      </c>
      <c r="I7" s="91">
        <v>13</v>
      </c>
      <c r="J7" s="46" t="str">
        <f t="shared" si="6"/>
        <v>M13</v>
      </c>
      <c r="K7" s="47">
        <v>6</v>
      </c>
      <c r="L7" s="46">
        <v>5</v>
      </c>
      <c r="M7" s="46">
        <v>5</v>
      </c>
      <c r="N7" s="46">
        <v>5</v>
      </c>
      <c r="O7" s="46" t="str">
        <f>""</f>
        <v/>
      </c>
      <c r="P7" s="46" t="str">
        <f>""</f>
        <v/>
      </c>
      <c r="Q7" s="46" t="str">
        <f>""</f>
        <v/>
      </c>
      <c r="R7" s="46" t="str">
        <f>""</f>
        <v/>
      </c>
      <c r="S7" s="46" t="str">
        <f>""</f>
        <v/>
      </c>
      <c r="T7" s="46" t="str">
        <f>""</f>
        <v/>
      </c>
      <c r="U7" s="46" t="str">
        <f>""</f>
        <v/>
      </c>
      <c r="V7" s="46" t="str">
        <f t="shared" si="7"/>
        <v>M13</v>
      </c>
      <c r="W7" s="47">
        <v>3</v>
      </c>
      <c r="X7" s="48">
        <v>2</v>
      </c>
      <c r="Y7" s="48">
        <v>2</v>
      </c>
      <c r="Z7" s="48">
        <v>0</v>
      </c>
      <c r="AA7" s="91" t="s">
        <v>1111</v>
      </c>
      <c r="AB7" s="91">
        <v>6</v>
      </c>
      <c r="AC7" s="95">
        <f t="shared" ca="1" si="8"/>
        <v>21</v>
      </c>
      <c r="AD7" s="95" t="s">
        <v>882</v>
      </c>
      <c r="AE7" s="95" t="str">
        <f t="shared" ca="1" si="12"/>
        <v>M5</v>
      </c>
      <c r="AF7" s="95">
        <f t="shared" ca="1" si="9"/>
        <v>22</v>
      </c>
      <c r="AG7" s="95" t="str">
        <f t="shared" ca="1" si="10"/>
        <v>M6</v>
      </c>
      <c r="AH7" s="95" t="str">
        <f t="shared" ca="1" si="11"/>
        <v xml:space="preserve">Tijan Željko </v>
      </c>
      <c r="AI7" s="96">
        <f>IF(AP4=5,6,8)</f>
        <v>6</v>
      </c>
      <c r="AJ7" s="96" t="str">
        <f>VLOOKUP(AI7,Translation!$A$2:$E$129,Data!$AP$2,FALSE)</f>
        <v>SW</v>
      </c>
      <c r="AK7" s="96" t="str">
        <f>VLOOKUP(AJ7,Translation!$A$2:$E$129,Data!$AP$2,FALSE)</f>
        <v>Senior Women</v>
      </c>
      <c r="AL7" s="96">
        <f t="shared" si="2"/>
        <v>0</v>
      </c>
      <c r="AM7" s="96">
        <f t="shared" si="3"/>
        <v>0</v>
      </c>
      <c r="AN7" s="96" t="str">
        <f t="shared" si="4"/>
        <v>SW</v>
      </c>
      <c r="AO7" s="101"/>
      <c r="AP7" s="101"/>
      <c r="AQ7" s="50"/>
      <c r="AR7" s="102"/>
      <c r="AS7" s="102"/>
      <c r="AT7" s="220" t="s">
        <v>860</v>
      </c>
      <c r="AU7" s="221" t="str">
        <f>VLOOKUP(AT7,Translation!$A$1:$E$100,Data!$AP$2,FALSE)</f>
        <v>Men/Women</v>
      </c>
      <c r="AV7" s="222">
        <v>2</v>
      </c>
      <c r="AW7" s="230" t="str">
        <f>"'Men-Women'!"</f>
        <v>'Men-Women'!</v>
      </c>
      <c r="AX7" s="53" t="str">
        <f t="shared" ref="AX7:AX8" si="14">AW7&amp;"$D$9:$L$139"</f>
        <v>'Men-Women'!$D$9:$L$139</v>
      </c>
      <c r="AY7" s="55" t="s">
        <v>756</v>
      </c>
      <c r="AZ7" s="219">
        <v>44069</v>
      </c>
      <c r="BA7" s="53">
        <f>IF($AP$6=3,COUNT(Absolute!A:A),IF($AP$6=2,COUNTIF('Start List'!G:G,AJ7),'Start List'!K14))</f>
        <v>0</v>
      </c>
      <c r="BB7" s="53" t="str">
        <f t="shared" ref="BB7:BB8" si="15">AW7&amp;"$E$9:$J$139"</f>
        <v>'Men-Women'!$E$9:$J$139</v>
      </c>
    </row>
    <row r="8" spans="1:54" x14ac:dyDescent="0.2">
      <c r="A8" s="45" t="s">
        <v>86</v>
      </c>
      <c r="B8" s="89" t="s">
        <v>273</v>
      </c>
      <c r="C8" s="90">
        <v>8</v>
      </c>
      <c r="D8" s="91" t="str">
        <f t="shared" si="5"/>
        <v>M5</v>
      </c>
      <c r="E8" s="91">
        <f t="shared" si="0"/>
        <v>7</v>
      </c>
      <c r="F8" s="91">
        <f t="shared" si="1"/>
        <v>4</v>
      </c>
      <c r="G8" s="91">
        <v>6</v>
      </c>
      <c r="H8" s="91">
        <v>10</v>
      </c>
      <c r="I8" s="91">
        <v>5</v>
      </c>
      <c r="J8" s="46" t="str">
        <f t="shared" si="6"/>
        <v>M5</v>
      </c>
      <c r="K8" s="47">
        <v>7</v>
      </c>
      <c r="L8" s="46">
        <v>6</v>
      </c>
      <c r="M8" s="46">
        <v>6</v>
      </c>
      <c r="N8" s="46">
        <v>6</v>
      </c>
      <c r="O8" s="46">
        <v>5</v>
      </c>
      <c r="P8" s="46">
        <v>5</v>
      </c>
      <c r="Q8" s="46">
        <v>5</v>
      </c>
      <c r="R8" s="46">
        <v>5</v>
      </c>
      <c r="S8" s="46">
        <v>4</v>
      </c>
      <c r="T8" s="46">
        <v>3</v>
      </c>
      <c r="U8" s="46">
        <v>3</v>
      </c>
      <c r="V8" s="46" t="str">
        <f t="shared" si="7"/>
        <v>M5</v>
      </c>
      <c r="W8" s="47">
        <v>4</v>
      </c>
      <c r="X8" s="48">
        <v>3</v>
      </c>
      <c r="Y8" s="48">
        <v>3</v>
      </c>
      <c r="Z8" s="48">
        <v>0</v>
      </c>
      <c r="AA8" s="91" t="s">
        <v>1107</v>
      </c>
      <c r="AB8" s="91">
        <v>7</v>
      </c>
      <c r="AC8" s="95">
        <f t="shared" ca="1" si="8"/>
        <v>22</v>
      </c>
      <c r="AD8" s="95" t="s">
        <v>883</v>
      </c>
      <c r="AE8" s="95" t="str">
        <f t="shared" ca="1" si="12"/>
        <v>M6</v>
      </c>
      <c r="AF8" s="95">
        <f t="shared" ca="1" si="9"/>
        <v>23</v>
      </c>
      <c r="AG8" s="95" t="str">
        <f t="shared" ca="1" si="10"/>
        <v>M7</v>
      </c>
      <c r="AH8" s="95" t="str">
        <f t="shared" ca="1" si="11"/>
        <v>Nedělník Josef</v>
      </c>
      <c r="AI8" s="51">
        <v>16</v>
      </c>
      <c r="AJ8" s="103" t="s">
        <v>459</v>
      </c>
      <c r="AK8" s="51" t="s">
        <v>470</v>
      </c>
      <c r="AL8" s="51" t="s">
        <v>481</v>
      </c>
      <c r="AM8" s="51" t="s">
        <v>492</v>
      </c>
      <c r="AN8" s="51" t="s">
        <v>503</v>
      </c>
      <c r="AO8" s="103" t="s">
        <v>543</v>
      </c>
      <c r="AQ8" s="104" t="s">
        <v>600</v>
      </c>
      <c r="AT8" s="220" t="s">
        <v>861</v>
      </c>
      <c r="AU8" s="221" t="str">
        <f>VLOOKUP(AT8,Translation!$A$1:$E$100,Data!$AP$2,FALSE)</f>
        <v>Absolute</v>
      </c>
      <c r="AV8" s="222">
        <v>3</v>
      </c>
      <c r="AW8" s="230" t="str">
        <f>"'Absolute'!"</f>
        <v>'Absolute'!</v>
      </c>
      <c r="AX8" s="53" t="str">
        <f t="shared" si="14"/>
        <v>'Absolute'!$D$9:$L$139</v>
      </c>
      <c r="AY8" s="55" t="s">
        <v>757</v>
      </c>
      <c r="AZ8" s="219">
        <v>44076</v>
      </c>
      <c r="BB8" s="53" t="str">
        <f t="shared" si="15"/>
        <v>'Absolute'!$E$9:$J$139</v>
      </c>
    </row>
    <row r="9" spans="1:54" x14ac:dyDescent="0.2">
      <c r="A9" s="45" t="s">
        <v>91</v>
      </c>
      <c r="B9" s="89" t="s">
        <v>278</v>
      </c>
      <c r="C9" s="90">
        <v>9</v>
      </c>
      <c r="D9" s="91" t="str">
        <f t="shared" si="5"/>
        <v>M12</v>
      </c>
      <c r="E9" s="91">
        <f t="shared" si="0"/>
        <v>8</v>
      </c>
      <c r="F9" s="91">
        <f t="shared" si="1"/>
        <v>4</v>
      </c>
      <c r="G9" s="91">
        <v>6</v>
      </c>
      <c r="H9" s="91">
        <v>10</v>
      </c>
      <c r="I9" s="91">
        <v>12</v>
      </c>
      <c r="J9" s="46" t="str">
        <f t="shared" si="6"/>
        <v>M12</v>
      </c>
      <c r="K9" s="47">
        <v>8</v>
      </c>
      <c r="L9" s="46">
        <v>7</v>
      </c>
      <c r="M9" s="46">
        <v>7</v>
      </c>
      <c r="N9" s="46">
        <v>7</v>
      </c>
      <c r="O9" s="46">
        <v>6</v>
      </c>
      <c r="P9" s="46" t="str">
        <f>""</f>
        <v/>
      </c>
      <c r="Q9" s="46" t="str">
        <f>""</f>
        <v/>
      </c>
      <c r="R9" s="46" t="str">
        <f>""</f>
        <v/>
      </c>
      <c r="S9" s="46" t="str">
        <f>""</f>
        <v/>
      </c>
      <c r="T9" s="46" t="str">
        <f>""</f>
        <v/>
      </c>
      <c r="U9" s="46" t="str">
        <f>""</f>
        <v/>
      </c>
      <c r="V9" s="46" t="str">
        <f t="shared" si="7"/>
        <v>M12</v>
      </c>
      <c r="W9" s="47">
        <v>4</v>
      </c>
      <c r="X9" s="48">
        <v>3</v>
      </c>
      <c r="Y9" s="48">
        <v>3</v>
      </c>
      <c r="Z9" s="48">
        <v>0</v>
      </c>
      <c r="AA9" s="91" t="s">
        <v>1101</v>
      </c>
      <c r="AB9" s="91">
        <v>8</v>
      </c>
      <c r="AC9" s="95">
        <f t="shared" ca="1" si="8"/>
        <v>23</v>
      </c>
      <c r="AD9" s="95" t="s">
        <v>884</v>
      </c>
      <c r="AE9" s="95" t="str">
        <f t="shared" ca="1" si="12"/>
        <v>M7</v>
      </c>
      <c r="AF9" s="95">
        <f t="shared" ca="1" si="9"/>
        <v>24</v>
      </c>
      <c r="AG9" s="95" t="str">
        <f t="shared" ca="1" si="10"/>
        <v>M8</v>
      </c>
      <c r="AH9" s="95" t="str">
        <f t="shared" ca="1" si="11"/>
        <v>Fran Županić</v>
      </c>
      <c r="AI9" s="103">
        <v>15</v>
      </c>
      <c r="AJ9" s="103" t="s">
        <v>460</v>
      </c>
      <c r="AK9" s="51" t="s">
        <v>471</v>
      </c>
      <c r="AL9" s="51" t="s">
        <v>482</v>
      </c>
      <c r="AM9" s="51" t="s">
        <v>493</v>
      </c>
      <c r="AN9" s="51" t="s">
        <v>504</v>
      </c>
      <c r="AO9" s="103" t="s">
        <v>544</v>
      </c>
      <c r="AP9" s="55">
        <v>1</v>
      </c>
      <c r="AQ9" s="104" t="str">
        <f t="shared" ref="AQ9:AQ15" si="16">VLOOKUP(VLOOKUP($AP$2,$AR$2:$AS$5,2,FALSE),$AI$34:$AS$38,AP9+1,FALSE)</f>
        <v>22. CROATIA CUP - CROSSBOW FIELD</v>
      </c>
      <c r="AY9" s="55" t="s">
        <v>758</v>
      </c>
      <c r="AZ9" s="219">
        <v>44083</v>
      </c>
    </row>
    <row r="10" spans="1:54" x14ac:dyDescent="0.2">
      <c r="A10" s="45" t="s">
        <v>92</v>
      </c>
      <c r="B10" s="89" t="s">
        <v>279</v>
      </c>
      <c r="C10" s="90">
        <v>10</v>
      </c>
      <c r="D10" s="91" t="str">
        <f t="shared" si="5"/>
        <v>M2</v>
      </c>
      <c r="E10" s="91">
        <f t="shared" si="0"/>
        <v>9</v>
      </c>
      <c r="F10" s="91">
        <f t="shared" si="1"/>
        <v>5</v>
      </c>
      <c r="G10" s="91">
        <v>2</v>
      </c>
      <c r="H10" s="91">
        <v>11</v>
      </c>
      <c r="I10" s="91">
        <v>2</v>
      </c>
      <c r="J10" s="46" t="str">
        <f t="shared" si="6"/>
        <v>M2</v>
      </c>
      <c r="K10" s="47">
        <v>9</v>
      </c>
      <c r="L10" s="46">
        <v>8</v>
      </c>
      <c r="M10" s="46">
        <v>8</v>
      </c>
      <c r="N10" s="46">
        <v>8</v>
      </c>
      <c r="O10" s="46">
        <v>7</v>
      </c>
      <c r="P10" s="46">
        <v>6</v>
      </c>
      <c r="Q10" s="46">
        <v>6</v>
      </c>
      <c r="R10" s="46">
        <v>6</v>
      </c>
      <c r="S10" s="46">
        <v>5</v>
      </c>
      <c r="T10" s="46">
        <v>4</v>
      </c>
      <c r="U10" s="46">
        <v>4</v>
      </c>
      <c r="V10" s="46" t="str">
        <f t="shared" si="7"/>
        <v>M2</v>
      </c>
      <c r="W10" s="47">
        <v>5</v>
      </c>
      <c r="X10" s="48">
        <v>4</v>
      </c>
      <c r="Y10" s="48">
        <v>4</v>
      </c>
      <c r="Z10" s="48">
        <v>0</v>
      </c>
      <c r="AA10" s="91" t="s">
        <v>1112</v>
      </c>
      <c r="AB10" s="91">
        <v>9</v>
      </c>
      <c r="AC10" s="95">
        <f t="shared" ca="1" si="8"/>
        <v>24</v>
      </c>
      <c r="AD10" s="95" t="s">
        <v>885</v>
      </c>
      <c r="AE10" s="95" t="str">
        <f t="shared" ca="1" si="12"/>
        <v>M8</v>
      </c>
      <c r="AF10" s="95">
        <f t="shared" ca="1" si="9"/>
        <v>25</v>
      </c>
      <c r="AG10" s="95" t="str">
        <f t="shared" ca="1" si="10"/>
        <v>M9</v>
      </c>
      <c r="AH10" s="95" t="str">
        <f t="shared" ca="1" si="11"/>
        <v>Mátrai István</v>
      </c>
      <c r="AI10" s="103">
        <v>14</v>
      </c>
      <c r="AJ10" s="103" t="s">
        <v>461</v>
      </c>
      <c r="AK10" s="51" t="s">
        <v>472</v>
      </c>
      <c r="AL10" s="51" t="s">
        <v>483</v>
      </c>
      <c r="AM10" s="51" t="s">
        <v>494</v>
      </c>
      <c r="AN10" s="51" t="s">
        <v>505</v>
      </c>
      <c r="AO10" s="103" t="s">
        <v>545</v>
      </c>
      <c r="AP10" s="55">
        <v>2</v>
      </c>
      <c r="AQ10" s="104" t="str">
        <f t="shared" si="16"/>
        <v>22. BOHEMIA CUP - CROSSBOW FIELD</v>
      </c>
      <c r="AY10" s="55" t="s">
        <v>759</v>
      </c>
      <c r="AZ10" s="219">
        <v>44090</v>
      </c>
    </row>
    <row r="11" spans="1:54" x14ac:dyDescent="0.2">
      <c r="A11" s="45" t="s">
        <v>93</v>
      </c>
      <c r="B11" s="89" t="s">
        <v>280</v>
      </c>
      <c r="C11" s="90">
        <v>11</v>
      </c>
      <c r="D11" s="91" t="str">
        <f t="shared" si="5"/>
        <v>M15</v>
      </c>
      <c r="E11" s="91">
        <f t="shared" si="0"/>
        <v>10</v>
      </c>
      <c r="F11" s="91">
        <f t="shared" si="1"/>
        <v>5</v>
      </c>
      <c r="G11" s="91">
        <v>2</v>
      </c>
      <c r="H11" s="91">
        <v>11</v>
      </c>
      <c r="I11" s="91">
        <v>15</v>
      </c>
      <c r="J11" s="46" t="str">
        <f t="shared" si="6"/>
        <v>M15</v>
      </c>
      <c r="K11" s="47">
        <v>10</v>
      </c>
      <c r="L11" s="46">
        <v>9</v>
      </c>
      <c r="M11" s="46" t="str">
        <f>""</f>
        <v/>
      </c>
      <c r="N11" s="46" t="str">
        <f>""</f>
        <v/>
      </c>
      <c r="O11" s="46" t="str">
        <f>""</f>
        <v/>
      </c>
      <c r="P11" s="46" t="str">
        <f>""</f>
        <v/>
      </c>
      <c r="Q11" s="46" t="str">
        <f>""</f>
        <v/>
      </c>
      <c r="R11" s="46" t="str">
        <f>""</f>
        <v/>
      </c>
      <c r="S11" s="46" t="str">
        <f>""</f>
        <v/>
      </c>
      <c r="T11" s="46" t="str">
        <f>""</f>
        <v/>
      </c>
      <c r="U11" s="46" t="str">
        <f>""</f>
        <v/>
      </c>
      <c r="V11" s="46" t="str">
        <f t="shared" si="7"/>
        <v>M15</v>
      </c>
      <c r="W11" s="47">
        <v>5</v>
      </c>
      <c r="X11" s="48">
        <v>4</v>
      </c>
      <c r="Y11" s="48">
        <v>4</v>
      </c>
      <c r="Z11" s="48">
        <v>0</v>
      </c>
      <c r="AA11" s="91" t="s">
        <v>1108</v>
      </c>
      <c r="AB11" s="91">
        <v>10</v>
      </c>
      <c r="AC11" s="95">
        <f t="shared" ca="1" si="8"/>
        <v>25</v>
      </c>
      <c r="AD11" s="95" t="s">
        <v>886</v>
      </c>
      <c r="AE11" s="95" t="str">
        <f t="shared" ca="1" si="12"/>
        <v>M9</v>
      </c>
      <c r="AF11" s="95">
        <f t="shared" ca="1" si="9"/>
        <v>26</v>
      </c>
      <c r="AG11" s="95" t="str">
        <f t="shared" ca="1" si="10"/>
        <v>M10</v>
      </c>
      <c r="AH11" s="95" t="str">
        <f t="shared" ca="1" si="11"/>
        <v>Vyskočil Denis</v>
      </c>
      <c r="AI11" s="103">
        <v>13</v>
      </c>
      <c r="AJ11" s="103" t="s">
        <v>462</v>
      </c>
      <c r="AK11" s="51" t="s">
        <v>473</v>
      </c>
      <c r="AL11" s="51" t="s">
        <v>484</v>
      </c>
      <c r="AM11" s="51" t="s">
        <v>495</v>
      </c>
      <c r="AN11" s="51" t="s">
        <v>506</v>
      </c>
      <c r="AO11" s="103" t="s">
        <v>546</v>
      </c>
      <c r="AP11" s="55">
        <v>3</v>
      </c>
      <c r="AQ11" s="104" t="str">
        <f t="shared" si="16"/>
        <v>IAU WORLD CUP - CROSSBOW FIELD</v>
      </c>
      <c r="AY11" s="55" t="s">
        <v>760</v>
      </c>
      <c r="AZ11" s="219">
        <v>44097</v>
      </c>
    </row>
    <row r="12" spans="1:54" x14ac:dyDescent="0.2">
      <c r="A12" s="45" t="s">
        <v>94</v>
      </c>
      <c r="B12" s="89" t="s">
        <v>281</v>
      </c>
      <c r="C12" s="90">
        <v>12</v>
      </c>
      <c r="D12" s="91" t="str">
        <f t="shared" si="5"/>
        <v>M7</v>
      </c>
      <c r="E12" s="91">
        <f t="shared" si="0"/>
        <v>11</v>
      </c>
      <c r="F12" s="91">
        <f t="shared" si="1"/>
        <v>6</v>
      </c>
      <c r="G12" s="91">
        <v>2</v>
      </c>
      <c r="H12" s="91">
        <v>11</v>
      </c>
      <c r="I12" s="91">
        <v>7</v>
      </c>
      <c r="J12" s="46" t="str">
        <f t="shared" si="6"/>
        <v>M7</v>
      </c>
      <c r="K12" s="47">
        <v>11</v>
      </c>
      <c r="L12" s="46">
        <v>10</v>
      </c>
      <c r="M12" s="46">
        <v>9</v>
      </c>
      <c r="N12" s="46">
        <v>9</v>
      </c>
      <c r="O12" s="46">
        <v>8</v>
      </c>
      <c r="P12" s="46">
        <v>7</v>
      </c>
      <c r="Q12" s="46">
        <v>7</v>
      </c>
      <c r="R12" s="46">
        <v>7</v>
      </c>
      <c r="S12" s="46">
        <v>6</v>
      </c>
      <c r="T12" s="46">
        <v>5</v>
      </c>
      <c r="U12" s="46" t="str">
        <f>""</f>
        <v/>
      </c>
      <c r="V12" s="46" t="str">
        <f t="shared" si="7"/>
        <v>M7</v>
      </c>
      <c r="W12" s="47">
        <v>6</v>
      </c>
      <c r="X12" s="48">
        <v>5</v>
      </c>
      <c r="Y12" s="46" t="str">
        <f>""</f>
        <v/>
      </c>
      <c r="Z12" s="48">
        <v>0</v>
      </c>
      <c r="AA12" s="91" t="s">
        <v>1113</v>
      </c>
      <c r="AB12" s="91">
        <v>11</v>
      </c>
      <c r="AC12" s="95">
        <f t="shared" ca="1" si="8"/>
        <v>26</v>
      </c>
      <c r="AD12" s="95" t="s">
        <v>887</v>
      </c>
      <c r="AE12" s="95" t="str">
        <f t="shared" ca="1" si="12"/>
        <v>M10</v>
      </c>
      <c r="AF12" s="95">
        <f t="shared" ca="1" si="9"/>
        <v>27</v>
      </c>
      <c r="AG12" s="95" t="str">
        <f t="shared" ca="1" si="10"/>
        <v>M11</v>
      </c>
      <c r="AH12" s="95" t="str">
        <f t="shared" ca="1" si="11"/>
        <v>Andrés Lukáš</v>
      </c>
      <c r="AI12" s="51">
        <v>12</v>
      </c>
      <c r="AJ12" s="103" t="s">
        <v>463</v>
      </c>
      <c r="AK12" s="51" t="s">
        <v>474</v>
      </c>
      <c r="AL12" s="51" t="s">
        <v>485</v>
      </c>
      <c r="AM12" s="51" t="s">
        <v>496</v>
      </c>
      <c r="AN12" s="51" t="s">
        <v>507</v>
      </c>
      <c r="AO12" s="103" t="s">
        <v>547</v>
      </c>
      <c r="AP12" s="55">
        <v>4</v>
      </c>
      <c r="AQ12" s="104" t="str">
        <f t="shared" si="16"/>
        <v>IAU WORLD CUP FINAL - CROSSBOW FIELD 18m</v>
      </c>
      <c r="AW12" s="53" t="s">
        <v>1115</v>
      </c>
      <c r="AY12" s="55" t="s">
        <v>761</v>
      </c>
      <c r="AZ12" s="219">
        <v>44104</v>
      </c>
    </row>
    <row r="13" spans="1:54" x14ac:dyDescent="0.2">
      <c r="A13" s="45" t="s">
        <v>96</v>
      </c>
      <c r="B13" s="89" t="s">
        <v>283</v>
      </c>
      <c r="C13" s="90">
        <v>13</v>
      </c>
      <c r="D13" s="91" t="str">
        <f t="shared" si="5"/>
        <v>M10</v>
      </c>
      <c r="E13" s="91">
        <f t="shared" si="0"/>
        <v>12</v>
      </c>
      <c r="F13" s="91">
        <f t="shared" si="1"/>
        <v>6</v>
      </c>
      <c r="G13" s="91">
        <v>2</v>
      </c>
      <c r="H13" s="91">
        <v>11</v>
      </c>
      <c r="I13" s="91">
        <v>10</v>
      </c>
      <c r="J13" s="46" t="str">
        <f t="shared" si="6"/>
        <v>M10</v>
      </c>
      <c r="K13" s="47">
        <v>12</v>
      </c>
      <c r="L13" s="46">
        <v>11</v>
      </c>
      <c r="M13" s="46">
        <v>10</v>
      </c>
      <c r="N13" s="46">
        <v>10</v>
      </c>
      <c r="O13" s="46">
        <v>9</v>
      </c>
      <c r="P13" s="46">
        <v>8</v>
      </c>
      <c r="Q13" s="46">
        <v>8</v>
      </c>
      <c r="R13" s="46" t="str">
        <f>""</f>
        <v/>
      </c>
      <c r="S13" s="46" t="str">
        <f>""</f>
        <v/>
      </c>
      <c r="T13" s="46" t="str">
        <f>""</f>
        <v/>
      </c>
      <c r="U13" s="46" t="str">
        <f>""</f>
        <v/>
      </c>
      <c r="V13" s="46" t="str">
        <f t="shared" si="7"/>
        <v>M10</v>
      </c>
      <c r="W13" s="47">
        <v>6</v>
      </c>
      <c r="X13" s="48">
        <v>5</v>
      </c>
      <c r="Y13" s="46" t="str">
        <f>""</f>
        <v/>
      </c>
      <c r="Z13" s="48">
        <v>0</v>
      </c>
      <c r="AA13" s="91" t="s">
        <v>1114</v>
      </c>
      <c r="AB13" s="91">
        <v>12</v>
      </c>
      <c r="AC13" s="95">
        <f t="shared" ca="1" si="8"/>
        <v>27</v>
      </c>
      <c r="AD13" s="95" t="s">
        <v>888</v>
      </c>
      <c r="AE13" s="95" t="str">
        <f t="shared" ca="1" si="12"/>
        <v>M11</v>
      </c>
      <c r="AF13" s="95">
        <f t="shared" ca="1" si="9"/>
        <v>28</v>
      </c>
      <c r="AG13" s="95" t="str">
        <f t="shared" ca="1" si="10"/>
        <v>M12</v>
      </c>
      <c r="AH13" s="95" t="str">
        <f t="shared" ca="1" si="11"/>
        <v>Kratochvíla Pavel</v>
      </c>
      <c r="AI13" s="103">
        <v>11</v>
      </c>
      <c r="AJ13" s="103" t="s">
        <v>464</v>
      </c>
      <c r="AK13" s="51" t="s">
        <v>475</v>
      </c>
      <c r="AL13" s="51" t="s">
        <v>486</v>
      </c>
      <c r="AM13" s="51" t="s">
        <v>497</v>
      </c>
      <c r="AN13" s="51" t="s">
        <v>508</v>
      </c>
      <c r="AO13" s="103" t="s">
        <v>548</v>
      </c>
      <c r="AP13" s="55">
        <v>5</v>
      </c>
      <c r="AQ13" s="104" t="str">
        <f t="shared" si="16"/>
        <v>IAU WORLD CUP FINAL - CROSSBOW FIELD</v>
      </c>
      <c r="AY13" s="55" t="s">
        <v>762</v>
      </c>
      <c r="AZ13" s="219">
        <v>44111</v>
      </c>
    </row>
    <row r="14" spans="1:54" x14ac:dyDescent="0.2">
      <c r="A14" s="45" t="s">
        <v>15</v>
      </c>
      <c r="B14" s="89" t="s">
        <v>58</v>
      </c>
      <c r="C14" s="90">
        <v>14</v>
      </c>
      <c r="D14" s="91" t="str">
        <f t="shared" si="5"/>
        <v>M3</v>
      </c>
      <c r="E14" s="91">
        <f t="shared" si="0"/>
        <v>13</v>
      </c>
      <c r="F14" s="91">
        <f t="shared" si="1"/>
        <v>7</v>
      </c>
      <c r="G14" s="91">
        <v>3</v>
      </c>
      <c r="H14" s="91">
        <v>11</v>
      </c>
      <c r="I14" s="91">
        <v>3</v>
      </c>
      <c r="J14" s="46" t="str">
        <f t="shared" si="6"/>
        <v>M3</v>
      </c>
      <c r="K14" s="47">
        <v>13</v>
      </c>
      <c r="L14" s="46">
        <v>12</v>
      </c>
      <c r="M14" s="46">
        <v>11</v>
      </c>
      <c r="N14" s="46">
        <v>11</v>
      </c>
      <c r="O14" s="46">
        <v>10</v>
      </c>
      <c r="P14" s="46">
        <v>9</v>
      </c>
      <c r="Q14" s="46">
        <v>9</v>
      </c>
      <c r="R14" s="46">
        <v>8</v>
      </c>
      <c r="S14" s="46">
        <v>7</v>
      </c>
      <c r="T14" s="46">
        <v>6</v>
      </c>
      <c r="U14" s="46">
        <v>5</v>
      </c>
      <c r="V14" s="46" t="str">
        <f t="shared" si="7"/>
        <v>M3</v>
      </c>
      <c r="W14" s="47">
        <v>7</v>
      </c>
      <c r="X14" s="48">
        <v>6</v>
      </c>
      <c r="Y14" s="48">
        <v>5</v>
      </c>
      <c r="Z14" s="48">
        <v>0</v>
      </c>
      <c r="AA14" s="91" t="s">
        <v>1103</v>
      </c>
      <c r="AB14" s="91">
        <v>13</v>
      </c>
      <c r="AC14" s="95">
        <f t="shared" ca="1" si="8"/>
        <v>28</v>
      </c>
      <c r="AD14" s="95" t="s">
        <v>889</v>
      </c>
      <c r="AE14" s="95" t="str">
        <f t="shared" ca="1" si="12"/>
        <v>M12</v>
      </c>
      <c r="AF14" s="95">
        <f t="shared" ca="1" si="9"/>
        <v>29</v>
      </c>
      <c r="AG14" s="95" t="str">
        <f t="shared" ca="1" si="10"/>
        <v>M13</v>
      </c>
      <c r="AH14" s="95" t="str">
        <f t="shared" ca="1" si="11"/>
        <v>Losert Václav</v>
      </c>
      <c r="AI14" s="51">
        <v>10</v>
      </c>
      <c r="AJ14" s="103" t="s">
        <v>465</v>
      </c>
      <c r="AK14" s="51" t="s">
        <v>476</v>
      </c>
      <c r="AL14" s="51" t="s">
        <v>487</v>
      </c>
      <c r="AM14" s="51" t="s">
        <v>498</v>
      </c>
      <c r="AN14" s="51" t="s">
        <v>509</v>
      </c>
      <c r="AO14" s="103" t="s">
        <v>549</v>
      </c>
      <c r="AP14" s="55">
        <v>6</v>
      </c>
      <c r="AQ14" s="104" t="str">
        <f t="shared" si="16"/>
        <v>IAU EUROPEAN CHAMPIONSHIP - CROSSBOW FIELD</v>
      </c>
      <c r="AY14" s="55" t="s">
        <v>763</v>
      </c>
      <c r="AZ14" s="219">
        <v>44118</v>
      </c>
    </row>
    <row r="15" spans="1:54" x14ac:dyDescent="0.2">
      <c r="A15" s="45" t="s">
        <v>97</v>
      </c>
      <c r="B15" s="89" t="s">
        <v>284</v>
      </c>
      <c r="C15" s="90">
        <v>15</v>
      </c>
      <c r="D15" s="91" t="str">
        <f t="shared" si="5"/>
        <v>M14</v>
      </c>
      <c r="E15" s="91">
        <f t="shared" si="0"/>
        <v>14</v>
      </c>
      <c r="F15" s="91">
        <f t="shared" si="1"/>
        <v>7</v>
      </c>
      <c r="G15" s="91">
        <v>3</v>
      </c>
      <c r="H15" s="91">
        <v>11</v>
      </c>
      <c r="I15" s="91">
        <v>14</v>
      </c>
      <c r="J15" s="46" t="str">
        <f t="shared" si="6"/>
        <v>M14</v>
      </c>
      <c r="K15" s="47">
        <v>14</v>
      </c>
      <c r="L15" s="46">
        <v>13</v>
      </c>
      <c r="M15" s="46">
        <v>12</v>
      </c>
      <c r="N15" s="46" t="str">
        <f>""</f>
        <v/>
      </c>
      <c r="O15" s="46" t="str">
        <f>""</f>
        <v/>
      </c>
      <c r="P15" s="46" t="str">
        <f>""</f>
        <v/>
      </c>
      <c r="Q15" s="46" t="str">
        <f>""</f>
        <v/>
      </c>
      <c r="R15" s="46" t="str">
        <f>""</f>
        <v/>
      </c>
      <c r="S15" s="46" t="str">
        <f>""</f>
        <v/>
      </c>
      <c r="T15" s="46" t="str">
        <f>""</f>
        <v/>
      </c>
      <c r="U15" s="46" t="str">
        <f>""</f>
        <v/>
      </c>
      <c r="V15" s="46" t="str">
        <f t="shared" si="7"/>
        <v>M14</v>
      </c>
      <c r="W15" s="47">
        <v>7</v>
      </c>
      <c r="X15" s="48">
        <v>6</v>
      </c>
      <c r="Y15" s="48">
        <v>5</v>
      </c>
      <c r="Z15" s="48">
        <v>0</v>
      </c>
      <c r="AA15" s="91" t="s">
        <v>1110</v>
      </c>
      <c r="AB15" s="91">
        <v>14</v>
      </c>
      <c r="AC15" s="95">
        <f t="shared" ca="1" si="8"/>
        <v>29</v>
      </c>
      <c r="AD15" s="95" t="s">
        <v>890</v>
      </c>
      <c r="AE15" s="95" t="str">
        <f t="shared" ca="1" si="12"/>
        <v>M13</v>
      </c>
      <c r="AF15" s="95">
        <f t="shared" ca="1" si="9"/>
        <v>30</v>
      </c>
      <c r="AG15" s="95" t="str">
        <f t="shared" ca="1" si="10"/>
        <v>M14</v>
      </c>
      <c r="AH15" s="95" t="str">
        <f t="shared" ca="1" si="11"/>
        <v>Baborák František</v>
      </c>
      <c r="AI15" s="103">
        <v>9</v>
      </c>
      <c r="AJ15" s="103" t="s">
        <v>466</v>
      </c>
      <c r="AK15" s="51" t="s">
        <v>477</v>
      </c>
      <c r="AL15" s="51" t="s">
        <v>488</v>
      </c>
      <c r="AM15" s="51" t="s">
        <v>499</v>
      </c>
      <c r="AN15" s="51" t="s">
        <v>510</v>
      </c>
      <c r="AO15" s="103" t="s">
        <v>550</v>
      </c>
      <c r="AP15" s="55">
        <v>7</v>
      </c>
      <c r="AQ15" s="104" t="str">
        <f t="shared" si="16"/>
        <v>IAU ASIAN CHAMPIONSHIP - CROSSBOW FIELD</v>
      </c>
      <c r="AY15" s="55" t="s">
        <v>764</v>
      </c>
      <c r="AZ15" s="219">
        <v>44125</v>
      </c>
    </row>
    <row r="16" spans="1:54" x14ac:dyDescent="0.2">
      <c r="A16" s="45" t="s">
        <v>98</v>
      </c>
      <c r="B16" s="89" t="s">
        <v>285</v>
      </c>
      <c r="C16" s="90">
        <v>16</v>
      </c>
      <c r="D16" s="91" t="str">
        <f t="shared" si="5"/>
        <v>M6</v>
      </c>
      <c r="E16" s="91">
        <f t="shared" si="0"/>
        <v>15</v>
      </c>
      <c r="F16" s="91">
        <f t="shared" si="1"/>
        <v>8</v>
      </c>
      <c r="G16" s="91">
        <v>3</v>
      </c>
      <c r="H16" s="91">
        <v>11</v>
      </c>
      <c r="I16" s="91">
        <v>6</v>
      </c>
      <c r="J16" s="46" t="str">
        <f t="shared" si="6"/>
        <v>M6</v>
      </c>
      <c r="K16" s="47">
        <v>15</v>
      </c>
      <c r="L16" s="46">
        <v>14</v>
      </c>
      <c r="M16" s="46">
        <v>13</v>
      </c>
      <c r="N16" s="46">
        <v>12</v>
      </c>
      <c r="O16" s="46">
        <v>11</v>
      </c>
      <c r="P16" s="46">
        <v>10</v>
      </c>
      <c r="Q16" s="46">
        <v>10</v>
      </c>
      <c r="R16" s="46">
        <v>9</v>
      </c>
      <c r="S16" s="46">
        <v>8</v>
      </c>
      <c r="T16" s="46">
        <v>7</v>
      </c>
      <c r="U16" s="46">
        <v>6</v>
      </c>
      <c r="V16" s="46" t="str">
        <f t="shared" si="7"/>
        <v>M6</v>
      </c>
      <c r="W16" s="47">
        <v>8</v>
      </c>
      <c r="X16" s="48">
        <v>7</v>
      </c>
      <c r="Y16" s="48">
        <v>6</v>
      </c>
      <c r="Z16" s="48">
        <v>0</v>
      </c>
      <c r="AA16" s="91" t="s">
        <v>1106</v>
      </c>
      <c r="AB16" s="91">
        <v>15</v>
      </c>
      <c r="AC16" s="95">
        <f t="shared" ca="1" si="8"/>
        <v>30</v>
      </c>
      <c r="AD16" s="95" t="s">
        <v>891</v>
      </c>
      <c r="AE16" s="95" t="str">
        <f t="shared" ca="1" si="12"/>
        <v>M14</v>
      </c>
      <c r="AF16" s="95">
        <f t="shared" ca="1" si="9"/>
        <v>31</v>
      </c>
      <c r="AG16" s="95" t="str">
        <f t="shared" ca="1" si="10"/>
        <v>M15</v>
      </c>
      <c r="AH16" s="95" t="str">
        <f t="shared" ca="1" si="11"/>
        <v>Palotai Gyula</v>
      </c>
      <c r="AI16" s="51">
        <v>8</v>
      </c>
      <c r="AJ16" s="103" t="s">
        <v>467</v>
      </c>
      <c r="AK16" s="51" t="s">
        <v>478</v>
      </c>
      <c r="AL16" s="51" t="s">
        <v>489</v>
      </c>
      <c r="AM16" s="51" t="s">
        <v>500</v>
      </c>
      <c r="AN16" s="51" t="s">
        <v>511</v>
      </c>
      <c r="AO16" s="103" t="s">
        <v>551</v>
      </c>
      <c r="AP16" s="55">
        <v>8</v>
      </c>
      <c r="AQ16" s="104" t="str">
        <f>VLOOKUP(VLOOKUP($AP$2,$AR$2:$AS$5,2,FALSE),$AI$34:$AS$38,AP16+1,FALSE)</f>
        <v>IAU WORLD CHAMPIONSHIP - CROSSBOW FIELD</v>
      </c>
      <c r="AY16" s="55" t="s">
        <v>765</v>
      </c>
      <c r="AZ16" s="219">
        <v>44132</v>
      </c>
    </row>
    <row r="17" spans="1:52" x14ac:dyDescent="0.2">
      <c r="A17" s="45" t="s">
        <v>111</v>
      </c>
      <c r="B17" s="89" t="s">
        <v>298</v>
      </c>
      <c r="C17" s="90">
        <v>17</v>
      </c>
      <c r="D17" s="91" t="str">
        <f t="shared" si="5"/>
        <v>M11</v>
      </c>
      <c r="E17" s="91">
        <f t="shared" si="0"/>
        <v>16</v>
      </c>
      <c r="F17" s="91">
        <f t="shared" si="1"/>
        <v>8</v>
      </c>
      <c r="G17" s="91">
        <v>3</v>
      </c>
      <c r="H17" s="91">
        <v>11</v>
      </c>
      <c r="I17" s="91">
        <v>11</v>
      </c>
      <c r="J17" s="46" t="str">
        <f t="shared" si="6"/>
        <v>M11</v>
      </c>
      <c r="K17" s="47">
        <v>16</v>
      </c>
      <c r="L17" s="46">
        <v>15</v>
      </c>
      <c r="M17" s="46">
        <v>14</v>
      </c>
      <c r="N17" s="46">
        <v>13</v>
      </c>
      <c r="O17" s="46">
        <v>12</v>
      </c>
      <c r="P17" s="46">
        <v>11</v>
      </c>
      <c r="Q17" s="46" t="str">
        <f>""</f>
        <v/>
      </c>
      <c r="R17" s="46" t="str">
        <f>""</f>
        <v/>
      </c>
      <c r="S17" s="46" t="str">
        <f>""</f>
        <v/>
      </c>
      <c r="T17" s="46" t="str">
        <f>""</f>
        <v/>
      </c>
      <c r="U17" s="46" t="str">
        <f>""</f>
        <v/>
      </c>
      <c r="V17" s="46" t="str">
        <f t="shared" si="7"/>
        <v>M11</v>
      </c>
      <c r="W17" s="47">
        <v>8</v>
      </c>
      <c r="X17" s="48">
        <v>7</v>
      </c>
      <c r="Y17" s="48">
        <v>6</v>
      </c>
      <c r="Z17" s="48">
        <v>0</v>
      </c>
      <c r="AA17" s="91" t="s">
        <v>1100</v>
      </c>
      <c r="AB17" s="91">
        <v>16</v>
      </c>
      <c r="AC17" s="95">
        <f t="shared" ca="1" si="8"/>
        <v>31</v>
      </c>
      <c r="AD17" s="95" t="s">
        <v>892</v>
      </c>
      <c r="AE17" s="95" t="str">
        <f t="shared" ca="1" si="12"/>
        <v>M15</v>
      </c>
      <c r="AF17" s="95">
        <f t="shared" ca="1" si="9"/>
        <v>32</v>
      </c>
      <c r="AG17" s="95" t="str">
        <f t="shared" ca="1" si="10"/>
        <v>M16</v>
      </c>
      <c r="AH17" s="95" t="str">
        <f t="shared" ca="1" si="11"/>
        <v>Mikeštík Martin</v>
      </c>
      <c r="AI17" s="103">
        <v>7</v>
      </c>
      <c r="AJ17" s="103" t="s">
        <v>468</v>
      </c>
      <c r="AK17" s="51" t="s">
        <v>479</v>
      </c>
      <c r="AL17" s="51" t="s">
        <v>490</v>
      </c>
      <c r="AM17" s="51" t="s">
        <v>501</v>
      </c>
      <c r="AN17" s="51" t="s">
        <v>512</v>
      </c>
      <c r="AO17" s="103" t="s">
        <v>552</v>
      </c>
      <c r="AY17" s="55" t="s">
        <v>766</v>
      </c>
      <c r="AZ17" s="219">
        <v>44139</v>
      </c>
    </row>
    <row r="18" spans="1:52" x14ac:dyDescent="0.2">
      <c r="A18" s="45" t="s">
        <v>99</v>
      </c>
      <c r="B18" s="89" t="s">
        <v>286</v>
      </c>
      <c r="C18" s="90">
        <v>18</v>
      </c>
      <c r="D18" s="91" t="str">
        <f>$AJ$3&amp;I18</f>
        <v>W1</v>
      </c>
      <c r="E18" s="91">
        <f t="shared" ref="E18:E33" ca="1" si="17">IFERROR(HLOOKUP($AL$3,$J$1:$U$81,C18,FALSE),"")</f>
        <v>18</v>
      </c>
      <c r="F18" s="91">
        <f t="shared" ref="F18:F33" ca="1" si="18">IFERROR(HLOOKUP($AM$3,$V$1:$Y$97,C18,FALSE),"")</f>
        <v>10</v>
      </c>
      <c r="G18" s="91">
        <v>8</v>
      </c>
      <c r="H18" s="91">
        <v>5</v>
      </c>
      <c r="I18" s="91">
        <v>1</v>
      </c>
      <c r="J18" s="105" t="str">
        <f t="shared" si="6"/>
        <v>W1</v>
      </c>
      <c r="K18" s="106">
        <f t="shared" ref="K18:U18" ca="1" si="19">MAX(INDIRECT(VLOOKUP($AL$2,$AI$8:$AO$24,2,FALSE)))+2</f>
        <v>18</v>
      </c>
      <c r="L18" s="105">
        <f t="shared" ca="1" si="19"/>
        <v>18</v>
      </c>
      <c r="M18" s="105">
        <f t="shared" ca="1" si="19"/>
        <v>18</v>
      </c>
      <c r="N18" s="105">
        <f t="shared" ca="1" si="19"/>
        <v>18</v>
      </c>
      <c r="O18" s="105">
        <f t="shared" ca="1" si="19"/>
        <v>18</v>
      </c>
      <c r="P18" s="105">
        <f t="shared" ca="1" si="19"/>
        <v>18</v>
      </c>
      <c r="Q18" s="105">
        <f t="shared" ca="1" si="19"/>
        <v>18</v>
      </c>
      <c r="R18" s="105">
        <f t="shared" ca="1" si="19"/>
        <v>18</v>
      </c>
      <c r="S18" s="105">
        <f t="shared" ca="1" si="19"/>
        <v>18</v>
      </c>
      <c r="T18" s="105">
        <f t="shared" ca="1" si="19"/>
        <v>18</v>
      </c>
      <c r="U18" s="105">
        <f t="shared" ca="1" si="19"/>
        <v>18</v>
      </c>
      <c r="V18" s="105" t="str">
        <f t="shared" si="7"/>
        <v>W1</v>
      </c>
      <c r="W18" s="106">
        <f ca="1">MAX(INDIRECT(VLOOKUP($AM$2,$AI$25:$AO$33,2,FALSE)))+2</f>
        <v>10</v>
      </c>
      <c r="X18" s="107">
        <f ca="1">MAX(INDIRECT(VLOOKUP($AM$2,$AI$25:$AO$33,2,FALSE)))+2</f>
        <v>10</v>
      </c>
      <c r="Y18" s="107">
        <f ca="1">MAX(INDIRECT(VLOOKUP($AM$2,$AI$25:$AO$33,2,FALSE)))+2</f>
        <v>10</v>
      </c>
      <c r="Z18" s="105">
        <v>0</v>
      </c>
      <c r="AA18" s="91" t="str">
        <f t="shared" ref="AA18:AA33" si="20">$AJ$2&amp;C1</f>
        <v>M1</v>
      </c>
      <c r="AB18" s="91">
        <v>17</v>
      </c>
      <c r="AC18" s="95">
        <f t="shared" ca="1" si="8"/>
        <v>32</v>
      </c>
      <c r="AD18" s="95" t="s">
        <v>893</v>
      </c>
      <c r="AE18" s="95" t="str">
        <f t="shared" ca="1" si="12"/>
        <v>M16</v>
      </c>
      <c r="AF18" s="95">
        <f t="shared" ca="1" si="9"/>
        <v>33</v>
      </c>
      <c r="AG18" s="95" t="str">
        <f t="shared" ca="1" si="10"/>
        <v>W1</v>
      </c>
      <c r="AH18" s="95" t="str">
        <f t="shared" ca="1" si="11"/>
        <v>Pereglin Valentina</v>
      </c>
      <c r="AI18" s="51">
        <v>6</v>
      </c>
      <c r="AJ18" s="103" t="s">
        <v>469</v>
      </c>
      <c r="AK18" s="51" t="s">
        <v>480</v>
      </c>
      <c r="AL18" s="51" t="s">
        <v>491</v>
      </c>
      <c r="AM18" s="51" t="s">
        <v>502</v>
      </c>
      <c r="AN18" s="51" t="s">
        <v>513</v>
      </c>
      <c r="AO18" s="103" t="s">
        <v>553</v>
      </c>
      <c r="AY18" s="55" t="s">
        <v>767</v>
      </c>
      <c r="AZ18" s="219">
        <v>44146</v>
      </c>
    </row>
    <row r="19" spans="1:52" x14ac:dyDescent="0.2">
      <c r="A19" s="45" t="s">
        <v>100</v>
      </c>
      <c r="B19" s="89" t="s">
        <v>287</v>
      </c>
      <c r="C19" s="90">
        <v>19</v>
      </c>
      <c r="D19" s="91" t="str">
        <f t="shared" ref="D19:D33" si="21">$AJ$3&amp;I19</f>
        <v>W16</v>
      </c>
      <c r="E19" s="91" t="str">
        <f t="shared" si="17"/>
        <v/>
      </c>
      <c r="F19" s="91">
        <f t="shared" ca="1" si="18"/>
        <v>10</v>
      </c>
      <c r="G19" s="91">
        <v>8</v>
      </c>
      <c r="H19" s="91">
        <v>5</v>
      </c>
      <c r="I19" s="91">
        <v>16</v>
      </c>
      <c r="J19" s="105" t="str">
        <f t="shared" si="6"/>
        <v>W16</v>
      </c>
      <c r="K19" s="106">
        <f ca="1">IF(K3="","",K$18-1+K3)</f>
        <v>19</v>
      </c>
      <c r="L19" s="105" t="str">
        <f t="shared" ref="L19:U19" si="22">IF(L3="","",L$18-1+L3)</f>
        <v/>
      </c>
      <c r="M19" s="105" t="str">
        <f t="shared" si="22"/>
        <v/>
      </c>
      <c r="N19" s="105" t="str">
        <f t="shared" si="22"/>
        <v/>
      </c>
      <c r="O19" s="105" t="str">
        <f t="shared" si="22"/>
        <v/>
      </c>
      <c r="P19" s="105" t="str">
        <f t="shared" si="22"/>
        <v/>
      </c>
      <c r="Q19" s="105" t="str">
        <f t="shared" si="22"/>
        <v/>
      </c>
      <c r="R19" s="105" t="str">
        <f t="shared" si="22"/>
        <v/>
      </c>
      <c r="S19" s="105" t="str">
        <f t="shared" si="22"/>
        <v/>
      </c>
      <c r="T19" s="105" t="str">
        <f t="shared" si="22"/>
        <v/>
      </c>
      <c r="U19" s="105" t="str">
        <f t="shared" si="22"/>
        <v/>
      </c>
      <c r="V19" s="105" t="str">
        <f t="shared" si="7"/>
        <v>W16</v>
      </c>
      <c r="W19" s="106">
        <f ca="1">W18</f>
        <v>10</v>
      </c>
      <c r="X19" s="107">
        <f ca="1">X18</f>
        <v>10</v>
      </c>
      <c r="Y19" s="107">
        <f ca="1">Y18</f>
        <v>10</v>
      </c>
      <c r="Z19" s="105">
        <v>0</v>
      </c>
      <c r="AA19" s="91" t="str">
        <f t="shared" si="20"/>
        <v>M2</v>
      </c>
      <c r="AB19" s="91">
        <v>18</v>
      </c>
      <c r="AC19" s="95">
        <f t="shared" ca="1" si="8"/>
        <v>100000</v>
      </c>
      <c r="AD19" s="95" t="s">
        <v>894</v>
      </c>
      <c r="AE19" s="95" t="str">
        <f t="shared" ca="1" si="12"/>
        <v>M17</v>
      </c>
      <c r="AF19" s="95">
        <f t="shared" ca="1" si="9"/>
        <v>34</v>
      </c>
      <c r="AG19" s="95" t="str">
        <f t="shared" ca="1" si="10"/>
        <v>W2</v>
      </c>
      <c r="AH19" s="95" t="str">
        <f t="shared" ca="1" si="11"/>
        <v>Oborovečki Mihaela</v>
      </c>
      <c r="AI19" s="103">
        <v>5</v>
      </c>
      <c r="AJ19" s="103" t="s">
        <v>529</v>
      </c>
      <c r="AK19" s="51" t="s">
        <v>530</v>
      </c>
      <c r="AL19" s="51" t="s">
        <v>531</v>
      </c>
      <c r="AM19" s="51" t="s">
        <v>532</v>
      </c>
      <c r="AN19" s="51" t="s">
        <v>533</v>
      </c>
      <c r="AO19" s="103" t="s">
        <v>542</v>
      </c>
      <c r="AY19" s="55" t="s">
        <v>768</v>
      </c>
      <c r="AZ19" s="219">
        <v>44153</v>
      </c>
    </row>
    <row r="20" spans="1:52" x14ac:dyDescent="0.2">
      <c r="A20" s="45" t="s">
        <v>107</v>
      </c>
      <c r="B20" s="89" t="s">
        <v>294</v>
      </c>
      <c r="C20" s="90">
        <v>20</v>
      </c>
      <c r="D20" s="91" t="str">
        <f t="shared" si="21"/>
        <v>W8</v>
      </c>
      <c r="E20" s="91">
        <f t="shared" ca="1" si="17"/>
        <v>19</v>
      </c>
      <c r="F20" s="91">
        <f t="shared" ca="1" si="18"/>
        <v>11</v>
      </c>
      <c r="G20" s="91">
        <v>8</v>
      </c>
      <c r="H20" s="91">
        <v>5</v>
      </c>
      <c r="I20" s="91">
        <v>8</v>
      </c>
      <c r="J20" s="105" t="str">
        <f t="shared" si="6"/>
        <v>W8</v>
      </c>
      <c r="K20" s="106">
        <f ca="1">IF(K4="","",K$18-1+K4)</f>
        <v>20</v>
      </c>
      <c r="L20" s="105">
        <f t="shared" ref="L20:Y20" ca="1" si="23">IF(L4="","",L$18-1+L4)</f>
        <v>19</v>
      </c>
      <c r="M20" s="105">
        <f t="shared" ca="1" si="23"/>
        <v>19</v>
      </c>
      <c r="N20" s="105">
        <f t="shared" ca="1" si="23"/>
        <v>19</v>
      </c>
      <c r="O20" s="105">
        <f t="shared" ca="1" si="23"/>
        <v>19</v>
      </c>
      <c r="P20" s="105">
        <f t="shared" ca="1" si="23"/>
        <v>19</v>
      </c>
      <c r="Q20" s="105">
        <f t="shared" ca="1" si="23"/>
        <v>19</v>
      </c>
      <c r="R20" s="105">
        <f t="shared" ca="1" si="23"/>
        <v>19</v>
      </c>
      <c r="S20" s="105">
        <f t="shared" ca="1" si="23"/>
        <v>19</v>
      </c>
      <c r="T20" s="105" t="str">
        <f t="shared" si="23"/>
        <v/>
      </c>
      <c r="U20" s="105" t="str">
        <f t="shared" si="23"/>
        <v/>
      </c>
      <c r="V20" s="105" t="str">
        <f t="shared" si="7"/>
        <v>W8</v>
      </c>
      <c r="W20" s="106">
        <f ca="1">IF(W4="","",W$18-1+W4)</f>
        <v>11</v>
      </c>
      <c r="X20" s="107" t="str">
        <f t="shared" si="23"/>
        <v/>
      </c>
      <c r="Y20" s="107" t="str">
        <f t="shared" si="23"/>
        <v/>
      </c>
      <c r="Z20" s="105">
        <v>0</v>
      </c>
      <c r="AA20" s="91" t="str">
        <f t="shared" si="20"/>
        <v>M3</v>
      </c>
      <c r="AB20" s="91">
        <v>19</v>
      </c>
      <c r="AC20" s="95">
        <f t="shared" ca="1" si="8"/>
        <v>100000</v>
      </c>
      <c r="AD20" s="95" t="s">
        <v>895</v>
      </c>
      <c r="AE20" s="95" t="str">
        <f t="shared" ca="1" si="12"/>
        <v>M18</v>
      </c>
      <c r="AF20" s="95">
        <f t="shared" ca="1" si="9"/>
        <v>35</v>
      </c>
      <c r="AG20" s="95" t="str">
        <f t="shared" ca="1" si="10"/>
        <v>W3</v>
      </c>
      <c r="AH20" s="95" t="str">
        <f t="shared" ca="1" si="11"/>
        <v>Karla Bartolović</v>
      </c>
      <c r="AI20" s="51">
        <v>4</v>
      </c>
      <c r="AJ20" s="103" t="s">
        <v>529</v>
      </c>
      <c r="AK20" s="51" t="s">
        <v>530</v>
      </c>
      <c r="AL20" s="51" t="s">
        <v>531</v>
      </c>
      <c r="AM20" s="51" t="s">
        <v>532</v>
      </c>
      <c r="AN20" s="51" t="s">
        <v>533</v>
      </c>
      <c r="AO20" s="103" t="s">
        <v>542</v>
      </c>
      <c r="AY20" s="55" t="s">
        <v>769</v>
      </c>
      <c r="AZ20" s="219">
        <v>44160</v>
      </c>
    </row>
    <row r="21" spans="1:52" x14ac:dyDescent="0.2">
      <c r="A21" s="45" t="s">
        <v>37</v>
      </c>
      <c r="B21" s="89" t="s">
        <v>59</v>
      </c>
      <c r="C21" s="90">
        <v>21</v>
      </c>
      <c r="D21" s="91" t="str">
        <f t="shared" si="21"/>
        <v>W9</v>
      </c>
      <c r="E21" s="91">
        <f t="shared" ca="1" si="17"/>
        <v>20</v>
      </c>
      <c r="F21" s="91">
        <f t="shared" ca="1" si="18"/>
        <v>11</v>
      </c>
      <c r="G21" s="91">
        <v>8</v>
      </c>
      <c r="H21" s="91">
        <v>5</v>
      </c>
      <c r="I21" s="91">
        <v>9</v>
      </c>
      <c r="J21" s="105" t="str">
        <f t="shared" si="6"/>
        <v>W9</v>
      </c>
      <c r="K21" s="106">
        <f ca="1">IF(K5="","",K$18-1+K5)</f>
        <v>21</v>
      </c>
      <c r="L21" s="105">
        <f t="shared" ref="L21:Y21" ca="1" si="24">IF(L5="","",L$18-1+L5)</f>
        <v>20</v>
      </c>
      <c r="M21" s="105">
        <f t="shared" ca="1" si="24"/>
        <v>20</v>
      </c>
      <c r="N21" s="105">
        <f t="shared" ca="1" si="24"/>
        <v>20</v>
      </c>
      <c r="O21" s="105">
        <f t="shared" ca="1" si="24"/>
        <v>20</v>
      </c>
      <c r="P21" s="105">
        <f t="shared" ca="1" si="24"/>
        <v>20</v>
      </c>
      <c r="Q21" s="105">
        <f t="shared" ca="1" si="24"/>
        <v>20</v>
      </c>
      <c r="R21" s="105">
        <f t="shared" ca="1" si="24"/>
        <v>20</v>
      </c>
      <c r="S21" s="105" t="str">
        <f t="shared" si="24"/>
        <v/>
      </c>
      <c r="T21" s="105" t="str">
        <f t="shared" si="24"/>
        <v/>
      </c>
      <c r="U21" s="105" t="str">
        <f t="shared" si="24"/>
        <v/>
      </c>
      <c r="V21" s="105" t="str">
        <f t="shared" si="7"/>
        <v>W9</v>
      </c>
      <c r="W21" s="106">
        <f t="shared" ca="1" si="24"/>
        <v>11</v>
      </c>
      <c r="X21" s="107" t="str">
        <f t="shared" si="24"/>
        <v/>
      </c>
      <c r="Y21" s="107" t="str">
        <f t="shared" si="24"/>
        <v/>
      </c>
      <c r="Z21" s="105">
        <v>0</v>
      </c>
      <c r="AA21" s="91" t="str">
        <f t="shared" si="20"/>
        <v>M4</v>
      </c>
      <c r="AB21" s="91">
        <v>20</v>
      </c>
      <c r="AC21" s="95">
        <f t="shared" ca="1" si="8"/>
        <v>100000</v>
      </c>
      <c r="AD21" s="95" t="s">
        <v>896</v>
      </c>
      <c r="AE21" s="95" t="str">
        <f t="shared" ca="1" si="12"/>
        <v/>
      </c>
      <c r="AF21" s="95">
        <f t="shared" ca="1" si="9"/>
        <v>36</v>
      </c>
      <c r="AG21" s="95" t="str">
        <f t="shared" ca="1" si="10"/>
        <v>W4</v>
      </c>
      <c r="AH21" s="95" t="str">
        <f t="shared" ca="1" si="11"/>
        <v>Iva Popović-Gecan</v>
      </c>
      <c r="AI21" s="103">
        <v>3</v>
      </c>
      <c r="AJ21" s="103" t="s">
        <v>529</v>
      </c>
      <c r="AK21" s="51" t="s">
        <v>530</v>
      </c>
      <c r="AL21" s="51" t="s">
        <v>531</v>
      </c>
      <c r="AM21" s="51" t="s">
        <v>532</v>
      </c>
      <c r="AN21" s="51" t="s">
        <v>533</v>
      </c>
      <c r="AO21" s="103" t="s">
        <v>542</v>
      </c>
      <c r="AY21" s="55" t="s">
        <v>770</v>
      </c>
      <c r="AZ21" s="219">
        <v>44167</v>
      </c>
    </row>
    <row r="22" spans="1:52" x14ac:dyDescent="0.2">
      <c r="A22" s="45" t="s">
        <v>106</v>
      </c>
      <c r="B22" s="89" t="s">
        <v>293</v>
      </c>
      <c r="C22" s="90">
        <v>22</v>
      </c>
      <c r="D22" s="91" t="str">
        <f t="shared" si="21"/>
        <v>W4</v>
      </c>
      <c r="E22" s="91">
        <f t="shared" ca="1" si="17"/>
        <v>21</v>
      </c>
      <c r="F22" s="91">
        <f t="shared" ca="1" si="18"/>
        <v>12</v>
      </c>
      <c r="G22" s="91">
        <v>9</v>
      </c>
      <c r="H22" s="91">
        <v>5</v>
      </c>
      <c r="I22" s="91">
        <v>4</v>
      </c>
      <c r="J22" s="105" t="str">
        <f t="shared" si="6"/>
        <v>W4</v>
      </c>
      <c r="K22" s="106">
        <f t="shared" ref="K22:Y22" ca="1" si="25">IF(K6="","",K$18-1+K6)</f>
        <v>22</v>
      </c>
      <c r="L22" s="105">
        <f t="shared" ca="1" si="25"/>
        <v>21</v>
      </c>
      <c r="M22" s="105">
        <f t="shared" ca="1" si="25"/>
        <v>21</v>
      </c>
      <c r="N22" s="105">
        <f t="shared" ca="1" si="25"/>
        <v>21</v>
      </c>
      <c r="O22" s="105">
        <f t="shared" ca="1" si="25"/>
        <v>21</v>
      </c>
      <c r="P22" s="105">
        <f t="shared" ca="1" si="25"/>
        <v>21</v>
      </c>
      <c r="Q22" s="105">
        <f t="shared" ca="1" si="25"/>
        <v>21</v>
      </c>
      <c r="R22" s="105">
        <f t="shared" ca="1" si="25"/>
        <v>21</v>
      </c>
      <c r="S22" s="105">
        <f t="shared" ca="1" si="25"/>
        <v>20</v>
      </c>
      <c r="T22" s="105">
        <f t="shared" ca="1" si="25"/>
        <v>19</v>
      </c>
      <c r="U22" s="105">
        <f t="shared" ca="1" si="25"/>
        <v>19</v>
      </c>
      <c r="V22" s="105" t="str">
        <f t="shared" si="7"/>
        <v>W4</v>
      </c>
      <c r="W22" s="106">
        <f t="shared" ca="1" si="25"/>
        <v>12</v>
      </c>
      <c r="X22" s="107">
        <f t="shared" ca="1" si="25"/>
        <v>11</v>
      </c>
      <c r="Y22" s="107">
        <f t="shared" ca="1" si="25"/>
        <v>11</v>
      </c>
      <c r="Z22" s="105">
        <v>0</v>
      </c>
      <c r="AA22" s="91" t="str">
        <f t="shared" si="20"/>
        <v>M5</v>
      </c>
      <c r="AB22" s="91">
        <v>21</v>
      </c>
      <c r="AC22" s="95">
        <f t="shared" ca="1" si="8"/>
        <v>33</v>
      </c>
      <c r="AD22" s="95" t="s">
        <v>897</v>
      </c>
      <c r="AE22" s="95" t="str">
        <f t="shared" ca="1" si="12"/>
        <v>W1</v>
      </c>
      <c r="AF22" s="95">
        <f t="shared" ca="1" si="9"/>
        <v>37</v>
      </c>
      <c r="AG22" s="95" t="str">
        <f t="shared" ca="1" si="10"/>
        <v>W5</v>
      </c>
      <c r="AH22" s="95" t="str">
        <f t="shared" ca="1" si="11"/>
        <v>Petra Petak</v>
      </c>
      <c r="AI22" s="51">
        <v>2</v>
      </c>
      <c r="AJ22" s="103" t="s">
        <v>529</v>
      </c>
      <c r="AK22" s="51" t="s">
        <v>530</v>
      </c>
      <c r="AL22" s="51" t="s">
        <v>531</v>
      </c>
      <c r="AM22" s="51" t="s">
        <v>532</v>
      </c>
      <c r="AN22" s="51" t="s">
        <v>533</v>
      </c>
      <c r="AO22" s="103" t="s">
        <v>542</v>
      </c>
      <c r="AY22" s="55" t="s">
        <v>771</v>
      </c>
      <c r="AZ22" s="219">
        <v>44174</v>
      </c>
    </row>
    <row r="23" spans="1:52" x14ac:dyDescent="0.2">
      <c r="A23" s="45" t="s">
        <v>102</v>
      </c>
      <c r="B23" s="89" t="s">
        <v>289</v>
      </c>
      <c r="C23" s="90">
        <v>23</v>
      </c>
      <c r="D23" s="91" t="str">
        <f t="shared" si="21"/>
        <v>W13</v>
      </c>
      <c r="E23" s="91">
        <f t="shared" ca="1" si="17"/>
        <v>22</v>
      </c>
      <c r="F23" s="91">
        <f t="shared" ca="1" si="18"/>
        <v>12</v>
      </c>
      <c r="G23" s="91">
        <v>9</v>
      </c>
      <c r="H23" s="91">
        <v>5</v>
      </c>
      <c r="I23" s="91">
        <v>13</v>
      </c>
      <c r="J23" s="105" t="str">
        <f t="shared" si="6"/>
        <v>W13</v>
      </c>
      <c r="K23" s="106">
        <f ca="1">IF(K7="","",K$18-1+K7)</f>
        <v>23</v>
      </c>
      <c r="L23" s="105">
        <f t="shared" ref="L23:Y23" ca="1" si="26">IF(L7="","",L$18-1+L7)</f>
        <v>22</v>
      </c>
      <c r="M23" s="105">
        <f t="shared" ca="1" si="26"/>
        <v>22</v>
      </c>
      <c r="N23" s="105">
        <f t="shared" ca="1" si="26"/>
        <v>22</v>
      </c>
      <c r="O23" s="105" t="str">
        <f t="shared" si="26"/>
        <v/>
      </c>
      <c r="P23" s="105" t="str">
        <f t="shared" si="26"/>
        <v/>
      </c>
      <c r="Q23" s="105" t="str">
        <f t="shared" si="26"/>
        <v/>
      </c>
      <c r="R23" s="105" t="str">
        <f t="shared" si="26"/>
        <v/>
      </c>
      <c r="S23" s="105" t="str">
        <f t="shared" si="26"/>
        <v/>
      </c>
      <c r="T23" s="105" t="str">
        <f t="shared" si="26"/>
        <v/>
      </c>
      <c r="U23" s="105" t="str">
        <f t="shared" si="26"/>
        <v/>
      </c>
      <c r="V23" s="105" t="str">
        <f t="shared" si="7"/>
        <v>W13</v>
      </c>
      <c r="W23" s="106">
        <f t="shared" ca="1" si="26"/>
        <v>12</v>
      </c>
      <c r="X23" s="107">
        <f t="shared" ca="1" si="26"/>
        <v>11</v>
      </c>
      <c r="Y23" s="107">
        <f t="shared" ca="1" si="26"/>
        <v>11</v>
      </c>
      <c r="Z23" s="105">
        <v>0</v>
      </c>
      <c r="AA23" s="91" t="str">
        <f t="shared" si="20"/>
        <v>M6</v>
      </c>
      <c r="AB23" s="91">
        <v>22</v>
      </c>
      <c r="AC23" s="95">
        <f t="shared" ca="1" si="8"/>
        <v>34</v>
      </c>
      <c r="AD23" s="95" t="s">
        <v>898</v>
      </c>
      <c r="AE23" s="95" t="str">
        <f t="shared" ca="1" si="12"/>
        <v>W2</v>
      </c>
      <c r="AF23" s="95">
        <f t="shared" ca="1" si="9"/>
        <v>38</v>
      </c>
      <c r="AG23" s="95" t="str">
        <f t="shared" ca="1" si="10"/>
        <v>W6</v>
      </c>
      <c r="AH23" s="95" t="str">
        <f t="shared" ca="1" si="11"/>
        <v>Stela Čuk</v>
      </c>
      <c r="AI23" s="103">
        <v>1</v>
      </c>
      <c r="AJ23" s="103" t="s">
        <v>529</v>
      </c>
      <c r="AK23" s="51" t="s">
        <v>530</v>
      </c>
      <c r="AL23" s="51" t="s">
        <v>531</v>
      </c>
      <c r="AM23" s="51" t="s">
        <v>532</v>
      </c>
      <c r="AN23" s="51" t="s">
        <v>533</v>
      </c>
      <c r="AO23" s="103" t="s">
        <v>542</v>
      </c>
      <c r="AY23" s="55" t="s">
        <v>772</v>
      </c>
      <c r="AZ23" s="219">
        <v>44181</v>
      </c>
    </row>
    <row r="24" spans="1:52" x14ac:dyDescent="0.2">
      <c r="A24" s="45" t="s">
        <v>103</v>
      </c>
      <c r="B24" s="89" t="s">
        <v>290</v>
      </c>
      <c r="C24" s="90">
        <v>24</v>
      </c>
      <c r="D24" s="91" t="str">
        <f t="shared" si="21"/>
        <v>W5</v>
      </c>
      <c r="E24" s="91">
        <f t="shared" ca="1" si="17"/>
        <v>23</v>
      </c>
      <c r="F24" s="91">
        <f t="shared" ca="1" si="18"/>
        <v>13</v>
      </c>
      <c r="G24" s="91">
        <v>9</v>
      </c>
      <c r="H24" s="91">
        <v>5</v>
      </c>
      <c r="I24" s="91">
        <v>5</v>
      </c>
      <c r="J24" s="105" t="str">
        <f t="shared" si="6"/>
        <v>W5</v>
      </c>
      <c r="K24" s="106">
        <f ca="1">IF(K8="","",K$18-1+K8)</f>
        <v>24</v>
      </c>
      <c r="L24" s="105">
        <f t="shared" ref="L24:Y24" ca="1" si="27">IF(L8="","",L$18-1+L8)</f>
        <v>23</v>
      </c>
      <c r="M24" s="105">
        <f t="shared" ca="1" si="27"/>
        <v>23</v>
      </c>
      <c r="N24" s="105">
        <f t="shared" ca="1" si="27"/>
        <v>23</v>
      </c>
      <c r="O24" s="105">
        <f t="shared" ca="1" si="27"/>
        <v>22</v>
      </c>
      <c r="P24" s="105">
        <f t="shared" ca="1" si="27"/>
        <v>22</v>
      </c>
      <c r="Q24" s="105">
        <f t="shared" ca="1" si="27"/>
        <v>22</v>
      </c>
      <c r="R24" s="105">
        <f t="shared" ca="1" si="27"/>
        <v>22</v>
      </c>
      <c r="S24" s="105">
        <f t="shared" ca="1" si="27"/>
        <v>21</v>
      </c>
      <c r="T24" s="105">
        <f t="shared" ca="1" si="27"/>
        <v>20</v>
      </c>
      <c r="U24" s="105">
        <f t="shared" ca="1" si="27"/>
        <v>20</v>
      </c>
      <c r="V24" s="105" t="str">
        <f t="shared" si="7"/>
        <v>W5</v>
      </c>
      <c r="W24" s="106">
        <f t="shared" ca="1" si="27"/>
        <v>13</v>
      </c>
      <c r="X24" s="107">
        <f t="shared" ca="1" si="27"/>
        <v>12</v>
      </c>
      <c r="Y24" s="107">
        <f t="shared" ca="1" si="27"/>
        <v>12</v>
      </c>
      <c r="Z24" s="105">
        <v>0</v>
      </c>
      <c r="AA24" s="91" t="str">
        <f t="shared" si="20"/>
        <v>M7</v>
      </c>
      <c r="AB24" s="91">
        <v>23</v>
      </c>
      <c r="AC24" s="95">
        <f t="shared" ca="1" si="8"/>
        <v>35</v>
      </c>
      <c r="AD24" s="95" t="s">
        <v>899</v>
      </c>
      <c r="AE24" s="95" t="str">
        <f t="shared" ca="1" si="12"/>
        <v>W3</v>
      </c>
      <c r="AF24" s="95">
        <f t="shared" ca="1" si="9"/>
        <v>39</v>
      </c>
      <c r="AG24" s="95" t="str">
        <f t="shared" ca="1" si="10"/>
        <v>W7</v>
      </c>
      <c r="AH24" s="95" t="str">
        <f t="shared" ca="1" si="11"/>
        <v>Nedělníková Jaroslava</v>
      </c>
      <c r="AI24" s="51">
        <v>0</v>
      </c>
      <c r="AJ24" s="103" t="s">
        <v>529</v>
      </c>
      <c r="AK24" s="51" t="s">
        <v>530</v>
      </c>
      <c r="AL24" s="51" t="s">
        <v>531</v>
      </c>
      <c r="AM24" s="51" t="s">
        <v>532</v>
      </c>
      <c r="AN24" s="51" t="s">
        <v>533</v>
      </c>
      <c r="AO24" s="103" t="s">
        <v>542</v>
      </c>
      <c r="AY24" s="55" t="s">
        <v>773</v>
      </c>
      <c r="AZ24" s="219">
        <v>44188</v>
      </c>
    </row>
    <row r="25" spans="1:52" x14ac:dyDescent="0.2">
      <c r="A25" s="45" t="s">
        <v>104</v>
      </c>
      <c r="B25" s="89" t="s">
        <v>291</v>
      </c>
      <c r="C25" s="90">
        <v>25</v>
      </c>
      <c r="D25" s="91" t="str">
        <f t="shared" si="21"/>
        <v>W12</v>
      </c>
      <c r="E25" s="91">
        <f t="shared" ca="1" si="17"/>
        <v>24</v>
      </c>
      <c r="F25" s="91">
        <f t="shared" ca="1" si="18"/>
        <v>13</v>
      </c>
      <c r="G25" s="91">
        <v>9</v>
      </c>
      <c r="H25" s="91">
        <v>5</v>
      </c>
      <c r="I25" s="91">
        <v>12</v>
      </c>
      <c r="J25" s="105" t="str">
        <f t="shared" si="6"/>
        <v>W12</v>
      </c>
      <c r="K25" s="106">
        <f t="shared" ref="K25:Y25" ca="1" si="28">IF(K9="","",K$18-1+K9)</f>
        <v>25</v>
      </c>
      <c r="L25" s="105">
        <f t="shared" ca="1" si="28"/>
        <v>24</v>
      </c>
      <c r="M25" s="105">
        <f t="shared" ca="1" si="28"/>
        <v>24</v>
      </c>
      <c r="N25" s="105">
        <f t="shared" ca="1" si="28"/>
        <v>24</v>
      </c>
      <c r="O25" s="105">
        <f t="shared" ca="1" si="28"/>
        <v>23</v>
      </c>
      <c r="P25" s="105" t="str">
        <f t="shared" si="28"/>
        <v/>
      </c>
      <c r="Q25" s="105" t="str">
        <f t="shared" si="28"/>
        <v/>
      </c>
      <c r="R25" s="105" t="str">
        <f t="shared" si="28"/>
        <v/>
      </c>
      <c r="S25" s="105" t="str">
        <f t="shared" si="28"/>
        <v/>
      </c>
      <c r="T25" s="105" t="str">
        <f t="shared" si="28"/>
        <v/>
      </c>
      <c r="U25" s="105" t="str">
        <f t="shared" si="28"/>
        <v/>
      </c>
      <c r="V25" s="105" t="str">
        <f t="shared" si="7"/>
        <v>W12</v>
      </c>
      <c r="W25" s="106">
        <f t="shared" ca="1" si="28"/>
        <v>13</v>
      </c>
      <c r="X25" s="107">
        <f t="shared" ca="1" si="28"/>
        <v>12</v>
      </c>
      <c r="Y25" s="107">
        <f t="shared" ca="1" si="28"/>
        <v>12</v>
      </c>
      <c r="Z25" s="105">
        <v>0</v>
      </c>
      <c r="AA25" s="91" t="str">
        <f t="shared" si="20"/>
        <v>M8</v>
      </c>
      <c r="AB25" s="91">
        <v>24</v>
      </c>
      <c r="AC25" s="95">
        <f t="shared" ca="1" si="8"/>
        <v>36</v>
      </c>
      <c r="AD25" s="95" t="s">
        <v>900</v>
      </c>
      <c r="AE25" s="95" t="str">
        <f t="shared" ca="1" si="12"/>
        <v>W4</v>
      </c>
      <c r="AF25" s="95">
        <f t="shared" ca="1" si="9"/>
        <v>40</v>
      </c>
      <c r="AG25" s="95" t="str">
        <f t="shared" ca="1" si="10"/>
        <v>W8</v>
      </c>
      <c r="AH25" s="95" t="str">
        <f t="shared" ca="1" si="11"/>
        <v>Bihariné Gábriel Emese</v>
      </c>
      <c r="AI25" s="52">
        <v>8</v>
      </c>
      <c r="AJ25" s="108" t="s">
        <v>518</v>
      </c>
      <c r="AK25" s="108" t="s">
        <v>519</v>
      </c>
      <c r="AL25" s="108" t="s">
        <v>520</v>
      </c>
      <c r="AM25" s="108" t="s">
        <v>521</v>
      </c>
      <c r="AN25" s="108" t="s">
        <v>522</v>
      </c>
      <c r="AO25" s="108" t="s">
        <v>539</v>
      </c>
      <c r="AP25" s="55" t="s">
        <v>559</v>
      </c>
      <c r="AQ25" s="55" t="s">
        <v>557</v>
      </c>
      <c r="AR25" s="55" t="s">
        <v>618</v>
      </c>
      <c r="AS25" s="55" t="s">
        <v>619</v>
      </c>
      <c r="AY25" s="55" t="s">
        <v>774</v>
      </c>
      <c r="AZ25" s="219">
        <v>44195</v>
      </c>
    </row>
    <row r="26" spans="1:52" x14ac:dyDescent="0.2">
      <c r="A26" s="45" t="s">
        <v>108</v>
      </c>
      <c r="B26" s="89" t="s">
        <v>295</v>
      </c>
      <c r="C26" s="90">
        <v>26</v>
      </c>
      <c r="D26" s="91" t="str">
        <f t="shared" si="21"/>
        <v>W2</v>
      </c>
      <c r="E26" s="91">
        <f t="shared" ca="1" si="17"/>
        <v>25</v>
      </c>
      <c r="F26" s="91">
        <f t="shared" ca="1" si="18"/>
        <v>14</v>
      </c>
      <c r="G26" s="91">
        <v>11</v>
      </c>
      <c r="H26" s="91">
        <v>6</v>
      </c>
      <c r="I26" s="91">
        <v>2</v>
      </c>
      <c r="J26" s="105" t="str">
        <f t="shared" si="6"/>
        <v>W2</v>
      </c>
      <c r="K26" s="106">
        <f ca="1">IF(K10="","",K$18-1+K10)</f>
        <v>26</v>
      </c>
      <c r="L26" s="105">
        <f t="shared" ref="L26:Y26" ca="1" si="29">IF(L10="","",L$18-1+L10)</f>
        <v>25</v>
      </c>
      <c r="M26" s="105">
        <f t="shared" ca="1" si="29"/>
        <v>25</v>
      </c>
      <c r="N26" s="105">
        <f t="shared" ca="1" si="29"/>
        <v>25</v>
      </c>
      <c r="O26" s="105">
        <f t="shared" ca="1" si="29"/>
        <v>24</v>
      </c>
      <c r="P26" s="105">
        <f t="shared" ca="1" si="29"/>
        <v>23</v>
      </c>
      <c r="Q26" s="105">
        <f t="shared" ca="1" si="29"/>
        <v>23</v>
      </c>
      <c r="R26" s="105">
        <f t="shared" ca="1" si="29"/>
        <v>23</v>
      </c>
      <c r="S26" s="105">
        <f t="shared" ca="1" si="29"/>
        <v>22</v>
      </c>
      <c r="T26" s="105">
        <f t="shared" ca="1" si="29"/>
        <v>21</v>
      </c>
      <c r="U26" s="105">
        <f t="shared" ca="1" si="29"/>
        <v>21</v>
      </c>
      <c r="V26" s="105" t="str">
        <f t="shared" si="7"/>
        <v>W2</v>
      </c>
      <c r="W26" s="106">
        <f t="shared" ca="1" si="29"/>
        <v>14</v>
      </c>
      <c r="X26" s="107">
        <f t="shared" ca="1" si="29"/>
        <v>13</v>
      </c>
      <c r="Y26" s="107">
        <f t="shared" ca="1" si="29"/>
        <v>13</v>
      </c>
      <c r="Z26" s="105">
        <v>0</v>
      </c>
      <c r="AA26" s="91" t="str">
        <f t="shared" si="20"/>
        <v>M9</v>
      </c>
      <c r="AB26" s="91">
        <v>25</v>
      </c>
      <c r="AC26" s="95">
        <f t="shared" ca="1" si="8"/>
        <v>37</v>
      </c>
      <c r="AD26" s="95" t="s">
        <v>901</v>
      </c>
      <c r="AE26" s="95" t="str">
        <f t="shared" ca="1" si="12"/>
        <v>W5</v>
      </c>
      <c r="AF26" s="95">
        <f t="shared" ca="1" si="9"/>
        <v>41</v>
      </c>
      <c r="AG26" s="95" t="str">
        <f t="shared" ca="1" si="10"/>
        <v>W9</v>
      </c>
      <c r="AH26" s="95" t="str">
        <f t="shared" ca="1" si="11"/>
        <v>Kubesová Sabina</v>
      </c>
      <c r="AI26" s="108">
        <v>7</v>
      </c>
      <c r="AJ26" s="108" t="s">
        <v>514</v>
      </c>
      <c r="AK26" s="108" t="s">
        <v>515</v>
      </c>
      <c r="AL26" s="108" t="s">
        <v>516</v>
      </c>
      <c r="AM26" s="108" t="s">
        <v>517</v>
      </c>
      <c r="AN26" s="108" t="s">
        <v>523</v>
      </c>
      <c r="AO26" s="108" t="s">
        <v>540</v>
      </c>
      <c r="AP26" s="55" t="s">
        <v>4</v>
      </c>
      <c r="AQ26" s="55" t="s">
        <v>4</v>
      </c>
      <c r="AR26" s="55" t="s">
        <v>4</v>
      </c>
      <c r="AS26" s="55" t="s">
        <v>4</v>
      </c>
      <c r="AY26" s="55" t="s">
        <v>775</v>
      </c>
      <c r="AZ26" s="219">
        <v>44202</v>
      </c>
    </row>
    <row r="27" spans="1:52" x14ac:dyDescent="0.2">
      <c r="A27" s="45" t="s">
        <v>105</v>
      </c>
      <c r="B27" s="89" t="s">
        <v>292</v>
      </c>
      <c r="C27" s="90">
        <v>27</v>
      </c>
      <c r="D27" s="91" t="str">
        <f t="shared" si="21"/>
        <v>W15</v>
      </c>
      <c r="E27" s="91" t="str">
        <f t="shared" si="17"/>
        <v/>
      </c>
      <c r="F27" s="91">
        <f t="shared" ca="1" si="18"/>
        <v>14</v>
      </c>
      <c r="G27" s="91">
        <v>11</v>
      </c>
      <c r="H27" s="91">
        <v>6</v>
      </c>
      <c r="I27" s="91">
        <v>15</v>
      </c>
      <c r="J27" s="105" t="str">
        <f t="shared" si="6"/>
        <v>W15</v>
      </c>
      <c r="K27" s="106">
        <f ca="1">IF(K11="","",K$18-1+K11)</f>
        <v>27</v>
      </c>
      <c r="L27" s="105">
        <f t="shared" ref="L27:Y27" ca="1" si="30">IF(L11="","",L$18-1+L11)</f>
        <v>26</v>
      </c>
      <c r="M27" s="105" t="str">
        <f t="shared" si="30"/>
        <v/>
      </c>
      <c r="N27" s="105" t="str">
        <f t="shared" si="30"/>
        <v/>
      </c>
      <c r="O27" s="105" t="str">
        <f t="shared" si="30"/>
        <v/>
      </c>
      <c r="P27" s="105" t="str">
        <f t="shared" si="30"/>
        <v/>
      </c>
      <c r="Q27" s="105" t="str">
        <f t="shared" si="30"/>
        <v/>
      </c>
      <c r="R27" s="105" t="str">
        <f t="shared" si="30"/>
        <v/>
      </c>
      <c r="S27" s="105" t="str">
        <f t="shared" si="30"/>
        <v/>
      </c>
      <c r="T27" s="105" t="str">
        <f t="shared" si="30"/>
        <v/>
      </c>
      <c r="U27" s="105" t="str">
        <f t="shared" si="30"/>
        <v/>
      </c>
      <c r="V27" s="105" t="str">
        <f t="shared" si="7"/>
        <v>W15</v>
      </c>
      <c r="W27" s="106">
        <f t="shared" ca="1" si="30"/>
        <v>14</v>
      </c>
      <c r="X27" s="107">
        <f t="shared" ca="1" si="30"/>
        <v>13</v>
      </c>
      <c r="Y27" s="107">
        <f t="shared" ca="1" si="30"/>
        <v>13</v>
      </c>
      <c r="Z27" s="105">
        <v>0</v>
      </c>
      <c r="AA27" s="91" t="str">
        <f t="shared" si="20"/>
        <v>M10</v>
      </c>
      <c r="AB27" s="91">
        <v>26</v>
      </c>
      <c r="AC27" s="95">
        <f t="shared" ca="1" si="8"/>
        <v>38</v>
      </c>
      <c r="AD27" s="95" t="s">
        <v>902</v>
      </c>
      <c r="AE27" s="95" t="str">
        <f t="shared" ca="1" si="12"/>
        <v>W6</v>
      </c>
      <c r="AF27" s="95">
        <f t="shared" ca="1" si="9"/>
        <v>42</v>
      </c>
      <c r="AG27" s="95" t="str">
        <f t="shared" ca="1" si="10"/>
        <v>W10</v>
      </c>
      <c r="AH27" s="95" t="str">
        <f t="shared" ca="1" si="11"/>
        <v>Hynková Karolína</v>
      </c>
      <c r="AI27" s="52">
        <v>6</v>
      </c>
      <c r="AJ27" s="108" t="s">
        <v>524</v>
      </c>
      <c r="AK27" s="108" t="s">
        <v>525</v>
      </c>
      <c r="AL27" s="108" t="s">
        <v>526</v>
      </c>
      <c r="AM27" s="108" t="s">
        <v>527</v>
      </c>
      <c r="AN27" s="108" t="s">
        <v>528</v>
      </c>
      <c r="AO27" s="108" t="s">
        <v>541</v>
      </c>
      <c r="AP27" s="55" t="s">
        <v>3</v>
      </c>
      <c r="AQ27" s="55" t="s">
        <v>712</v>
      </c>
      <c r="AR27" s="55" t="s">
        <v>712</v>
      </c>
      <c r="AS27" s="55" t="s">
        <v>3</v>
      </c>
      <c r="AY27" s="55" t="s">
        <v>776</v>
      </c>
      <c r="AZ27" s="219">
        <v>44209</v>
      </c>
    </row>
    <row r="28" spans="1:52" x14ac:dyDescent="0.2">
      <c r="A28" s="45" t="s">
        <v>109</v>
      </c>
      <c r="B28" s="89" t="s">
        <v>296</v>
      </c>
      <c r="C28" s="90">
        <v>28</v>
      </c>
      <c r="D28" s="91" t="str">
        <f t="shared" si="21"/>
        <v>W7</v>
      </c>
      <c r="E28" s="91">
        <f t="shared" ca="1" si="17"/>
        <v>26</v>
      </c>
      <c r="F28" s="91">
        <f t="shared" ca="1" si="18"/>
        <v>15</v>
      </c>
      <c r="G28" s="91">
        <v>11</v>
      </c>
      <c r="H28" s="91">
        <v>6</v>
      </c>
      <c r="I28" s="91">
        <v>7</v>
      </c>
      <c r="J28" s="105" t="str">
        <f t="shared" si="6"/>
        <v>W7</v>
      </c>
      <c r="K28" s="106">
        <f ca="1">IF(K12="","",K$18-1+K12)</f>
        <v>28</v>
      </c>
      <c r="L28" s="105">
        <f t="shared" ref="L28:Y28" ca="1" si="31">IF(L12="","",L$18-1+L12)</f>
        <v>27</v>
      </c>
      <c r="M28" s="105">
        <f t="shared" ca="1" si="31"/>
        <v>26</v>
      </c>
      <c r="N28" s="105">
        <f t="shared" ca="1" si="31"/>
        <v>26</v>
      </c>
      <c r="O28" s="105">
        <f t="shared" ca="1" si="31"/>
        <v>25</v>
      </c>
      <c r="P28" s="105">
        <f t="shared" ca="1" si="31"/>
        <v>24</v>
      </c>
      <c r="Q28" s="105">
        <f t="shared" ca="1" si="31"/>
        <v>24</v>
      </c>
      <c r="R28" s="105">
        <f t="shared" ca="1" si="31"/>
        <v>24</v>
      </c>
      <c r="S28" s="105">
        <f t="shared" ca="1" si="31"/>
        <v>23</v>
      </c>
      <c r="T28" s="105">
        <f t="shared" ca="1" si="31"/>
        <v>22</v>
      </c>
      <c r="U28" s="105" t="str">
        <f t="shared" si="31"/>
        <v/>
      </c>
      <c r="V28" s="105" t="str">
        <f t="shared" si="7"/>
        <v>W7</v>
      </c>
      <c r="W28" s="106">
        <f t="shared" ca="1" si="31"/>
        <v>15</v>
      </c>
      <c r="X28" s="107">
        <f t="shared" ca="1" si="31"/>
        <v>14</v>
      </c>
      <c r="Y28" s="107" t="str">
        <f t="shared" si="31"/>
        <v/>
      </c>
      <c r="Z28" s="105">
        <v>0</v>
      </c>
      <c r="AA28" s="91" t="str">
        <f t="shared" si="20"/>
        <v>M11</v>
      </c>
      <c r="AB28" s="91">
        <v>27</v>
      </c>
      <c r="AC28" s="95">
        <f t="shared" ca="1" si="8"/>
        <v>39</v>
      </c>
      <c r="AD28" s="95" t="s">
        <v>903</v>
      </c>
      <c r="AE28" s="95" t="str">
        <f t="shared" ca="1" si="12"/>
        <v>W7</v>
      </c>
      <c r="AF28" s="95">
        <f t="shared" ca="1" si="9"/>
        <v>43</v>
      </c>
      <c r="AG28" s="95" t="str">
        <f t="shared" ca="1" si="10"/>
        <v>W11</v>
      </c>
      <c r="AH28" s="95" t="str">
        <f t="shared" ca="1" si="11"/>
        <v>Dr. Lénárt Ágota</v>
      </c>
      <c r="AI28" s="108">
        <v>5</v>
      </c>
      <c r="AJ28" s="108" t="s">
        <v>529</v>
      </c>
      <c r="AK28" s="52" t="s">
        <v>530</v>
      </c>
      <c r="AL28" s="52" t="s">
        <v>531</v>
      </c>
      <c r="AM28" s="52" t="s">
        <v>532</v>
      </c>
      <c r="AN28" s="52" t="s">
        <v>533</v>
      </c>
      <c r="AO28" s="52" t="s">
        <v>542</v>
      </c>
      <c r="AP28" s="55" t="s">
        <v>5</v>
      </c>
      <c r="AQ28" s="55" t="s">
        <v>5</v>
      </c>
      <c r="AR28" s="55" t="s">
        <v>5</v>
      </c>
      <c r="AS28" s="55" t="s">
        <v>5</v>
      </c>
      <c r="AY28" s="55" t="s">
        <v>777</v>
      </c>
      <c r="AZ28" s="219">
        <v>44216</v>
      </c>
    </row>
    <row r="29" spans="1:52" x14ac:dyDescent="0.2">
      <c r="A29" s="45" t="s">
        <v>110</v>
      </c>
      <c r="B29" s="89" t="s">
        <v>297</v>
      </c>
      <c r="C29" s="90">
        <v>29</v>
      </c>
      <c r="D29" s="91" t="str">
        <f t="shared" si="21"/>
        <v>W10</v>
      </c>
      <c r="E29" s="91">
        <f t="shared" ca="1" si="17"/>
        <v>27</v>
      </c>
      <c r="F29" s="91">
        <f t="shared" ca="1" si="18"/>
        <v>15</v>
      </c>
      <c r="G29" s="91">
        <v>11</v>
      </c>
      <c r="H29" s="91">
        <v>6</v>
      </c>
      <c r="I29" s="91">
        <v>10</v>
      </c>
      <c r="J29" s="105" t="str">
        <f t="shared" si="6"/>
        <v>W10</v>
      </c>
      <c r="K29" s="106">
        <f t="shared" ref="K29:Y29" ca="1" si="32">IF(K13="","",K$18-1+K13)</f>
        <v>29</v>
      </c>
      <c r="L29" s="105">
        <f t="shared" ca="1" si="32"/>
        <v>28</v>
      </c>
      <c r="M29" s="105">
        <f t="shared" ca="1" si="32"/>
        <v>27</v>
      </c>
      <c r="N29" s="105">
        <f t="shared" ca="1" si="32"/>
        <v>27</v>
      </c>
      <c r="O29" s="105">
        <f t="shared" ca="1" si="32"/>
        <v>26</v>
      </c>
      <c r="P29" s="105">
        <f t="shared" ca="1" si="32"/>
        <v>25</v>
      </c>
      <c r="Q29" s="105">
        <f t="shared" ca="1" si="32"/>
        <v>25</v>
      </c>
      <c r="R29" s="105" t="str">
        <f t="shared" si="32"/>
        <v/>
      </c>
      <c r="S29" s="105" t="str">
        <f t="shared" si="32"/>
        <v/>
      </c>
      <c r="T29" s="105" t="str">
        <f t="shared" si="32"/>
        <v/>
      </c>
      <c r="U29" s="105" t="str">
        <f t="shared" si="32"/>
        <v/>
      </c>
      <c r="V29" s="105" t="str">
        <f t="shared" si="7"/>
        <v>W10</v>
      </c>
      <c r="W29" s="106">
        <f t="shared" ca="1" si="32"/>
        <v>15</v>
      </c>
      <c r="X29" s="107">
        <f t="shared" ca="1" si="32"/>
        <v>14</v>
      </c>
      <c r="Y29" s="107" t="str">
        <f t="shared" si="32"/>
        <v/>
      </c>
      <c r="Z29" s="105">
        <v>0</v>
      </c>
      <c r="AA29" s="91" t="str">
        <f t="shared" si="20"/>
        <v>M12</v>
      </c>
      <c r="AB29" s="91">
        <v>28</v>
      </c>
      <c r="AC29" s="95">
        <f t="shared" ca="1" si="8"/>
        <v>40</v>
      </c>
      <c r="AD29" s="95" t="s">
        <v>904</v>
      </c>
      <c r="AE29" s="95" t="str">
        <f t="shared" ca="1" si="12"/>
        <v>W8</v>
      </c>
      <c r="AF29" s="95">
        <f t="shared" ca="1" si="9"/>
        <v>44</v>
      </c>
      <c r="AG29" s="95" t="str">
        <f t="shared" ca="1" si="10"/>
        <v>W12</v>
      </c>
      <c r="AH29" s="95" t="str">
        <f t="shared" ca="1" si="11"/>
        <v>Hynková Irena</v>
      </c>
      <c r="AI29" s="52">
        <v>4</v>
      </c>
      <c r="AJ29" s="108" t="s">
        <v>529</v>
      </c>
      <c r="AK29" s="52" t="s">
        <v>530</v>
      </c>
      <c r="AL29" s="52" t="s">
        <v>531</v>
      </c>
      <c r="AM29" s="52" t="s">
        <v>532</v>
      </c>
      <c r="AN29" s="52" t="s">
        <v>533</v>
      </c>
      <c r="AO29" s="52" t="s">
        <v>542</v>
      </c>
      <c r="AP29" s="55" t="s">
        <v>6</v>
      </c>
      <c r="AQ29" s="55" t="s">
        <v>713</v>
      </c>
      <c r="AR29" s="55" t="s">
        <v>713</v>
      </c>
      <c r="AS29" s="55" t="s">
        <v>6</v>
      </c>
      <c r="AY29" s="55" t="s">
        <v>778</v>
      </c>
      <c r="AZ29" s="219">
        <v>44223</v>
      </c>
    </row>
    <row r="30" spans="1:52" x14ac:dyDescent="0.2">
      <c r="A30" s="45" t="s">
        <v>165</v>
      </c>
      <c r="B30" s="89" t="s">
        <v>351</v>
      </c>
      <c r="C30" s="90">
        <v>30</v>
      </c>
      <c r="D30" s="91" t="str">
        <f t="shared" si="21"/>
        <v>W3</v>
      </c>
      <c r="E30" s="91">
        <f t="shared" ca="1" si="17"/>
        <v>28</v>
      </c>
      <c r="F30" s="91">
        <f t="shared" ca="1" si="18"/>
        <v>16</v>
      </c>
      <c r="G30" s="91">
        <v>12</v>
      </c>
      <c r="H30" s="91">
        <v>6</v>
      </c>
      <c r="I30" s="91">
        <v>3</v>
      </c>
      <c r="J30" s="105" t="str">
        <f t="shared" si="6"/>
        <v>W3</v>
      </c>
      <c r="K30" s="106">
        <f ca="1">IF(K14="","",K$18-1+K14)</f>
        <v>30</v>
      </c>
      <c r="L30" s="105">
        <f t="shared" ref="L30:Y30" ca="1" si="33">IF(L14="","",L$18-1+L14)</f>
        <v>29</v>
      </c>
      <c r="M30" s="105">
        <f t="shared" ca="1" si="33"/>
        <v>28</v>
      </c>
      <c r="N30" s="105">
        <f t="shared" ca="1" si="33"/>
        <v>28</v>
      </c>
      <c r="O30" s="105">
        <f t="shared" ca="1" si="33"/>
        <v>27</v>
      </c>
      <c r="P30" s="105">
        <f t="shared" ca="1" si="33"/>
        <v>26</v>
      </c>
      <c r="Q30" s="105">
        <f t="shared" ca="1" si="33"/>
        <v>26</v>
      </c>
      <c r="R30" s="105">
        <f t="shared" ca="1" si="33"/>
        <v>25</v>
      </c>
      <c r="S30" s="105">
        <f t="shared" ca="1" si="33"/>
        <v>24</v>
      </c>
      <c r="T30" s="105">
        <f t="shared" ca="1" si="33"/>
        <v>23</v>
      </c>
      <c r="U30" s="105">
        <f t="shared" ca="1" si="33"/>
        <v>22</v>
      </c>
      <c r="V30" s="105" t="str">
        <f t="shared" si="7"/>
        <v>W3</v>
      </c>
      <c r="W30" s="106">
        <f t="shared" ca="1" si="33"/>
        <v>16</v>
      </c>
      <c r="X30" s="107">
        <f t="shared" ca="1" si="33"/>
        <v>15</v>
      </c>
      <c r="Y30" s="107">
        <f t="shared" ca="1" si="33"/>
        <v>14</v>
      </c>
      <c r="Z30" s="105">
        <v>0</v>
      </c>
      <c r="AA30" s="91" t="str">
        <f t="shared" si="20"/>
        <v>M13</v>
      </c>
      <c r="AB30" s="91">
        <v>29</v>
      </c>
      <c r="AC30" s="95">
        <f t="shared" ca="1" si="8"/>
        <v>41</v>
      </c>
      <c r="AD30" s="95" t="s">
        <v>905</v>
      </c>
      <c r="AE30" s="95" t="str">
        <f t="shared" ca="1" si="12"/>
        <v>W9</v>
      </c>
      <c r="AF30" s="95">
        <f t="shared" ca="1" si="9"/>
        <v>45</v>
      </c>
      <c r="AG30" s="95" t="str">
        <f t="shared" ca="1" si="10"/>
        <v>W13</v>
      </c>
      <c r="AH30" s="95" t="str">
        <f t="shared" ca="1" si="11"/>
        <v>Kocsis Mária</v>
      </c>
      <c r="AI30" s="108">
        <v>3</v>
      </c>
      <c r="AJ30" s="108" t="s">
        <v>529</v>
      </c>
      <c r="AK30" s="52" t="s">
        <v>530</v>
      </c>
      <c r="AL30" s="52" t="s">
        <v>531</v>
      </c>
      <c r="AM30" s="52" t="s">
        <v>532</v>
      </c>
      <c r="AN30" s="52" t="s">
        <v>533</v>
      </c>
      <c r="AO30" s="52" t="s">
        <v>542</v>
      </c>
      <c r="AP30" s="55" t="s">
        <v>667</v>
      </c>
      <c r="AQ30" s="55" t="s">
        <v>667</v>
      </c>
      <c r="AR30" s="55" t="s">
        <v>667</v>
      </c>
      <c r="AS30" s="55" t="s">
        <v>667</v>
      </c>
      <c r="AY30" s="55" t="s">
        <v>779</v>
      </c>
      <c r="AZ30" s="219">
        <v>44230</v>
      </c>
    </row>
    <row r="31" spans="1:52" x14ac:dyDescent="0.2">
      <c r="A31" s="45" t="s">
        <v>112</v>
      </c>
      <c r="B31" s="89" t="s">
        <v>299</v>
      </c>
      <c r="C31" s="90">
        <v>31</v>
      </c>
      <c r="D31" s="91" t="str">
        <f t="shared" si="21"/>
        <v>W14</v>
      </c>
      <c r="E31" s="91">
        <f t="shared" ca="1" si="17"/>
        <v>29</v>
      </c>
      <c r="F31" s="91">
        <f t="shared" ca="1" si="18"/>
        <v>16</v>
      </c>
      <c r="G31" s="91">
        <v>12</v>
      </c>
      <c r="H31" s="91">
        <v>6</v>
      </c>
      <c r="I31" s="91">
        <v>14</v>
      </c>
      <c r="J31" s="105" t="str">
        <f t="shared" si="6"/>
        <v>W14</v>
      </c>
      <c r="K31" s="106">
        <f ca="1">IF(K15="","",K$18-1+K15)</f>
        <v>31</v>
      </c>
      <c r="L31" s="105">
        <f t="shared" ref="L31:Y31" ca="1" si="34">IF(L15="","",L$18-1+L15)</f>
        <v>30</v>
      </c>
      <c r="M31" s="105">
        <f t="shared" ca="1" si="34"/>
        <v>29</v>
      </c>
      <c r="N31" s="105" t="str">
        <f t="shared" si="34"/>
        <v/>
      </c>
      <c r="O31" s="105" t="str">
        <f t="shared" si="34"/>
        <v/>
      </c>
      <c r="P31" s="105" t="str">
        <f t="shared" si="34"/>
        <v/>
      </c>
      <c r="Q31" s="105" t="str">
        <f t="shared" si="34"/>
        <v/>
      </c>
      <c r="R31" s="105" t="str">
        <f t="shared" si="34"/>
        <v/>
      </c>
      <c r="S31" s="105" t="str">
        <f t="shared" si="34"/>
        <v/>
      </c>
      <c r="T31" s="105" t="str">
        <f t="shared" si="34"/>
        <v/>
      </c>
      <c r="U31" s="105" t="str">
        <f t="shared" si="34"/>
        <v/>
      </c>
      <c r="V31" s="105" t="str">
        <f t="shared" si="7"/>
        <v>W14</v>
      </c>
      <c r="W31" s="106">
        <f t="shared" ca="1" si="34"/>
        <v>16</v>
      </c>
      <c r="X31" s="107">
        <f t="shared" ca="1" si="34"/>
        <v>15</v>
      </c>
      <c r="Y31" s="107">
        <f t="shared" ca="1" si="34"/>
        <v>14</v>
      </c>
      <c r="Z31" s="105">
        <v>0</v>
      </c>
      <c r="AA31" s="91" t="str">
        <f t="shared" si="20"/>
        <v>M14</v>
      </c>
      <c r="AB31" s="91">
        <v>30</v>
      </c>
      <c r="AC31" s="95">
        <f t="shared" ca="1" si="8"/>
        <v>42</v>
      </c>
      <c r="AD31" s="95" t="s">
        <v>906</v>
      </c>
      <c r="AE31" s="95" t="str">
        <f t="shared" ca="1" si="12"/>
        <v>W10</v>
      </c>
      <c r="AF31" s="95">
        <f t="shared" ca="1" si="9"/>
        <v>46</v>
      </c>
      <c r="AG31" s="95" t="str">
        <f t="shared" ca="1" si="10"/>
        <v>W14</v>
      </c>
      <c r="AH31" s="95" t="str">
        <f t="shared" ca="1" si="11"/>
        <v>Penezić Ema</v>
      </c>
      <c r="AI31" s="52">
        <v>2</v>
      </c>
      <c r="AJ31" s="108" t="s">
        <v>529</v>
      </c>
      <c r="AK31" s="52" t="s">
        <v>530</v>
      </c>
      <c r="AL31" s="52" t="s">
        <v>531</v>
      </c>
      <c r="AM31" s="52" t="s">
        <v>532</v>
      </c>
      <c r="AN31" s="52" t="s">
        <v>533</v>
      </c>
      <c r="AO31" s="52" t="s">
        <v>542</v>
      </c>
      <c r="AP31" s="55" t="s">
        <v>35</v>
      </c>
      <c r="AQ31" s="55"/>
      <c r="AR31" s="55" t="s">
        <v>714</v>
      </c>
      <c r="AS31" s="55" t="s">
        <v>35</v>
      </c>
      <c r="AY31" s="55" t="s">
        <v>780</v>
      </c>
      <c r="AZ31" s="219">
        <v>44237</v>
      </c>
    </row>
    <row r="32" spans="1:52" x14ac:dyDescent="0.2">
      <c r="A32" s="45" t="s">
        <v>113</v>
      </c>
      <c r="B32" s="89" t="s">
        <v>300</v>
      </c>
      <c r="C32" s="90">
        <v>32</v>
      </c>
      <c r="D32" s="91" t="str">
        <f t="shared" si="21"/>
        <v>W6</v>
      </c>
      <c r="E32" s="91">
        <f t="shared" ca="1" si="17"/>
        <v>30</v>
      </c>
      <c r="F32" s="91">
        <f t="shared" ca="1" si="18"/>
        <v>17</v>
      </c>
      <c r="G32" s="91">
        <v>12</v>
      </c>
      <c r="H32" s="91">
        <v>6</v>
      </c>
      <c r="I32" s="91">
        <v>6</v>
      </c>
      <c r="J32" s="105" t="str">
        <f t="shared" si="6"/>
        <v>W6</v>
      </c>
      <c r="K32" s="106">
        <f ca="1">IF(K16="","",K$18-1+K16)</f>
        <v>32</v>
      </c>
      <c r="L32" s="105">
        <f t="shared" ref="L32:Y32" ca="1" si="35">IF(L16="","",L$18-1+L16)</f>
        <v>31</v>
      </c>
      <c r="M32" s="105">
        <f t="shared" ca="1" si="35"/>
        <v>30</v>
      </c>
      <c r="N32" s="105">
        <f t="shared" ca="1" si="35"/>
        <v>29</v>
      </c>
      <c r="O32" s="105">
        <f t="shared" ca="1" si="35"/>
        <v>28</v>
      </c>
      <c r="P32" s="105">
        <f t="shared" ca="1" si="35"/>
        <v>27</v>
      </c>
      <c r="Q32" s="105">
        <f t="shared" ca="1" si="35"/>
        <v>27</v>
      </c>
      <c r="R32" s="105">
        <f t="shared" ca="1" si="35"/>
        <v>26</v>
      </c>
      <c r="S32" s="105">
        <f t="shared" ca="1" si="35"/>
        <v>25</v>
      </c>
      <c r="T32" s="105">
        <f t="shared" ca="1" si="35"/>
        <v>24</v>
      </c>
      <c r="U32" s="105">
        <f t="shared" ca="1" si="35"/>
        <v>23</v>
      </c>
      <c r="V32" s="105" t="str">
        <f t="shared" si="7"/>
        <v>W6</v>
      </c>
      <c r="W32" s="106">
        <f t="shared" ca="1" si="35"/>
        <v>17</v>
      </c>
      <c r="X32" s="107">
        <f t="shared" ca="1" si="35"/>
        <v>16</v>
      </c>
      <c r="Y32" s="107">
        <f t="shared" ca="1" si="35"/>
        <v>15</v>
      </c>
      <c r="Z32" s="105">
        <v>0</v>
      </c>
      <c r="AA32" s="91" t="str">
        <f t="shared" si="20"/>
        <v>M15</v>
      </c>
      <c r="AB32" s="91">
        <v>31</v>
      </c>
      <c r="AC32" s="95">
        <f t="shared" ca="1" si="8"/>
        <v>43</v>
      </c>
      <c r="AD32" s="95" t="s">
        <v>907</v>
      </c>
      <c r="AE32" s="95" t="str">
        <f t="shared" ca="1" si="12"/>
        <v>W11</v>
      </c>
      <c r="AF32" s="95">
        <f t="shared" ca="1" si="9"/>
        <v>100000</v>
      </c>
      <c r="AG32" s="95" t="str">
        <f t="shared" ca="1" si="10"/>
        <v xml:space="preserve"> </v>
      </c>
      <c r="AH32" s="95" t="e">
        <f t="shared" ca="1" si="11"/>
        <v>#N/A</v>
      </c>
      <c r="AI32" s="108">
        <v>1</v>
      </c>
      <c r="AJ32" s="108" t="s">
        <v>529</v>
      </c>
      <c r="AK32" s="52" t="s">
        <v>530</v>
      </c>
      <c r="AL32" s="52" t="s">
        <v>531</v>
      </c>
      <c r="AM32" s="52" t="s">
        <v>532</v>
      </c>
      <c r="AN32" s="52" t="s">
        <v>533</v>
      </c>
      <c r="AO32" s="52" t="s">
        <v>542</v>
      </c>
      <c r="AQ32" s="55"/>
      <c r="AR32" s="55"/>
      <c r="AS32" s="55"/>
      <c r="AY32" s="55" t="s">
        <v>781</v>
      </c>
      <c r="AZ32" s="219">
        <v>44244</v>
      </c>
    </row>
    <row r="33" spans="1:52" x14ac:dyDescent="0.2">
      <c r="A33" s="45" t="s">
        <v>114</v>
      </c>
      <c r="B33" s="89" t="s">
        <v>301</v>
      </c>
      <c r="C33" s="90">
        <v>33</v>
      </c>
      <c r="D33" s="91" t="str">
        <f t="shared" si="21"/>
        <v>W11</v>
      </c>
      <c r="E33" s="91">
        <f t="shared" ca="1" si="17"/>
        <v>31</v>
      </c>
      <c r="F33" s="91">
        <f t="shared" ca="1" si="18"/>
        <v>17</v>
      </c>
      <c r="G33" s="91">
        <v>12</v>
      </c>
      <c r="H33" s="91">
        <v>6</v>
      </c>
      <c r="I33" s="91">
        <v>11</v>
      </c>
      <c r="J33" s="105" t="str">
        <f t="shared" si="6"/>
        <v>W11</v>
      </c>
      <c r="K33" s="106">
        <f ca="1">IF(K17="","",K$18-1+K17)</f>
        <v>33</v>
      </c>
      <c r="L33" s="105">
        <f t="shared" ref="L33:Y33" ca="1" si="36">IF(L17="","",L$18-1+L17)</f>
        <v>32</v>
      </c>
      <c r="M33" s="105">
        <f t="shared" ca="1" si="36"/>
        <v>31</v>
      </c>
      <c r="N33" s="105">
        <f t="shared" ca="1" si="36"/>
        <v>30</v>
      </c>
      <c r="O33" s="105">
        <f t="shared" ca="1" si="36"/>
        <v>29</v>
      </c>
      <c r="P33" s="105">
        <f t="shared" ca="1" si="36"/>
        <v>28</v>
      </c>
      <c r="Q33" s="105" t="str">
        <f t="shared" si="36"/>
        <v/>
      </c>
      <c r="R33" s="105" t="str">
        <f t="shared" si="36"/>
        <v/>
      </c>
      <c r="S33" s="105" t="str">
        <f t="shared" si="36"/>
        <v/>
      </c>
      <c r="T33" s="105" t="str">
        <f t="shared" si="36"/>
        <v/>
      </c>
      <c r="U33" s="105" t="str">
        <f t="shared" si="36"/>
        <v/>
      </c>
      <c r="V33" s="105" t="str">
        <f t="shared" si="7"/>
        <v>W11</v>
      </c>
      <c r="W33" s="106">
        <f t="shared" ca="1" si="36"/>
        <v>17</v>
      </c>
      <c r="X33" s="107">
        <f t="shared" ca="1" si="36"/>
        <v>16</v>
      </c>
      <c r="Y33" s="107">
        <f t="shared" ca="1" si="36"/>
        <v>15</v>
      </c>
      <c r="Z33" s="105">
        <v>0</v>
      </c>
      <c r="AA33" s="91" t="str">
        <f t="shared" si="20"/>
        <v>M16</v>
      </c>
      <c r="AB33" s="91">
        <v>32</v>
      </c>
      <c r="AC33" s="95">
        <f t="shared" ca="1" si="8"/>
        <v>44</v>
      </c>
      <c r="AD33" s="95" t="s">
        <v>908</v>
      </c>
      <c r="AE33" s="95" t="str">
        <f t="shared" ca="1" si="12"/>
        <v>W12</v>
      </c>
      <c r="AF33" s="95">
        <f t="shared" ca="1" si="9"/>
        <v>100000</v>
      </c>
      <c r="AG33" s="95" t="str">
        <f t="shared" ca="1" si="10"/>
        <v xml:space="preserve"> </v>
      </c>
      <c r="AH33" s="95" t="e">
        <f t="shared" ca="1" si="11"/>
        <v>#N/A</v>
      </c>
      <c r="AI33" s="52">
        <v>0</v>
      </c>
      <c r="AJ33" s="108" t="s">
        <v>529</v>
      </c>
      <c r="AK33" s="52" t="s">
        <v>530</v>
      </c>
      <c r="AL33" s="52" t="s">
        <v>531</v>
      </c>
      <c r="AM33" s="52" t="s">
        <v>532</v>
      </c>
      <c r="AN33" s="52" t="s">
        <v>533</v>
      </c>
      <c r="AO33" s="52" t="s">
        <v>542</v>
      </c>
      <c r="AY33" s="55" t="s">
        <v>782</v>
      </c>
      <c r="AZ33" s="219">
        <v>44251</v>
      </c>
    </row>
    <row r="34" spans="1:52" x14ac:dyDescent="0.2">
      <c r="A34" s="45" t="s">
        <v>101</v>
      </c>
      <c r="B34" s="89" t="s">
        <v>288</v>
      </c>
      <c r="C34" s="90">
        <v>34</v>
      </c>
      <c r="D34" s="91" t="str">
        <f>$AJ$4&amp;I34</f>
        <v>J1</v>
      </c>
      <c r="E34" s="91" t="str">
        <f t="shared" ref="E34:E49" si="37">IFERROR(HLOOKUP($AL$4,$J$1:$U$81,C34,FALSE),"")</f>
        <v/>
      </c>
      <c r="F34" s="91" t="str">
        <f t="shared" ref="F34:F49" si="38">IFERROR(HLOOKUP($AM$4,$V$1:$Y$97,C34,FALSE),"")</f>
        <v/>
      </c>
      <c r="G34" s="91">
        <f>IF($AL$2=0,G2,14)</f>
        <v>14</v>
      </c>
      <c r="H34" s="91">
        <v>2</v>
      </c>
      <c r="I34" s="91">
        <v>1</v>
      </c>
      <c r="J34" s="109" t="str">
        <f t="shared" si="6"/>
        <v>J1</v>
      </c>
      <c r="K34" s="110">
        <f t="shared" ref="K34:U34" ca="1" si="39">MAX(INDIRECT(VLOOKUP($AL$3,$AI$8:$AO$24,3,FALSE)))+2</f>
        <v>33</v>
      </c>
      <c r="L34" s="109">
        <f t="shared" ca="1" si="39"/>
        <v>33</v>
      </c>
      <c r="M34" s="109">
        <f t="shared" ca="1" si="39"/>
        <v>33</v>
      </c>
      <c r="N34" s="109">
        <f t="shared" ca="1" si="39"/>
        <v>33</v>
      </c>
      <c r="O34" s="109">
        <f t="shared" ca="1" si="39"/>
        <v>33</v>
      </c>
      <c r="P34" s="109">
        <f t="shared" ca="1" si="39"/>
        <v>33</v>
      </c>
      <c r="Q34" s="109">
        <f t="shared" ca="1" si="39"/>
        <v>33</v>
      </c>
      <c r="R34" s="109">
        <f t="shared" ca="1" si="39"/>
        <v>33</v>
      </c>
      <c r="S34" s="109">
        <f t="shared" ca="1" si="39"/>
        <v>33</v>
      </c>
      <c r="T34" s="109">
        <f t="shared" ca="1" si="39"/>
        <v>33</v>
      </c>
      <c r="U34" s="109">
        <f t="shared" ca="1" si="39"/>
        <v>33</v>
      </c>
      <c r="V34" s="109" t="str">
        <f t="shared" si="7"/>
        <v>J1</v>
      </c>
      <c r="W34" s="110">
        <f ca="1">MAX(INDIRECT(VLOOKUP($AM$3,$AI$25:$AO$33,3,FALSE)))+2</f>
        <v>19</v>
      </c>
      <c r="X34" s="111">
        <f ca="1">MAX(INDIRECT(VLOOKUP($AM$3,$AI$25:$AO$33,3,FALSE)))+2</f>
        <v>19</v>
      </c>
      <c r="Y34" s="111">
        <f ca="1">MAX(INDIRECT(VLOOKUP($AM$3,$AI$25:$AO$33,3,FALSE)))+2</f>
        <v>19</v>
      </c>
      <c r="Z34" s="111">
        <v>0</v>
      </c>
      <c r="AA34" s="91" t="str">
        <f t="shared" ref="AA34:AA49" si="40">$AJ$3&amp;C1</f>
        <v>W1</v>
      </c>
      <c r="AB34" s="91">
        <v>33</v>
      </c>
      <c r="AC34" s="95">
        <f t="shared" ca="1" si="8"/>
        <v>45</v>
      </c>
      <c r="AD34" s="95" t="s">
        <v>909</v>
      </c>
      <c r="AE34" s="95" t="str">
        <f t="shared" ca="1" si="12"/>
        <v>W13</v>
      </c>
      <c r="AF34" s="95">
        <f t="shared" ca="1" si="9"/>
        <v>100000</v>
      </c>
      <c r="AG34" s="95" t="str">
        <f t="shared" ca="1" si="10"/>
        <v xml:space="preserve"> </v>
      </c>
      <c r="AH34" s="95" t="e">
        <f t="shared" ca="1" si="11"/>
        <v>#N/A</v>
      </c>
      <c r="AI34" s="55" t="s">
        <v>559</v>
      </c>
      <c r="AJ34" s="55" t="str">
        <f>Settings!$C$4&amp;" CROATIA CUP - CROSSBOW FIELD"</f>
        <v>22. CROATIA CUP - CROSSBOW FIELD</v>
      </c>
      <c r="AK34" s="55" t="str">
        <f>Settings!$C$4&amp;" BOHEMIA CUP - CROSSBOW FIELD"</f>
        <v>22. BOHEMIA CUP - CROSSBOW FIELD</v>
      </c>
      <c r="AL34" s="53" t="s">
        <v>17</v>
      </c>
      <c r="AM34" s="53" t="s">
        <v>599</v>
      </c>
      <c r="AN34" s="53" t="s">
        <v>583</v>
      </c>
      <c r="AO34" s="53" t="s">
        <v>585</v>
      </c>
      <c r="AP34" s="53" t="s">
        <v>726</v>
      </c>
      <c r="AQ34" s="53" t="s">
        <v>584</v>
      </c>
      <c r="AY34" s="55" t="s">
        <v>783</v>
      </c>
      <c r="AZ34" s="219">
        <v>44258</v>
      </c>
    </row>
    <row r="35" spans="1:52" x14ac:dyDescent="0.2">
      <c r="A35" s="45" t="s">
        <v>116</v>
      </c>
      <c r="B35" s="89" t="s">
        <v>303</v>
      </c>
      <c r="C35" s="90">
        <v>35</v>
      </c>
      <c r="D35" s="91" t="str">
        <f t="shared" ref="D35:D49" si="41">$AJ$4&amp;I35</f>
        <v>J16</v>
      </c>
      <c r="E35" s="91" t="str">
        <f t="shared" si="37"/>
        <v/>
      </c>
      <c r="F35" s="91" t="str">
        <f t="shared" si="38"/>
        <v/>
      </c>
      <c r="G35" s="91">
        <f t="shared" ref="G35:G37" si="42">IF($AL$2=0,G3,14)</f>
        <v>14</v>
      </c>
      <c r="H35" s="91">
        <v>2</v>
      </c>
      <c r="I35" s="91">
        <v>16</v>
      </c>
      <c r="J35" s="109" t="str">
        <f t="shared" si="6"/>
        <v>J16</v>
      </c>
      <c r="K35" s="110">
        <f ca="1">IF(K3="","",K$34-1+K3)</f>
        <v>34</v>
      </c>
      <c r="L35" s="109" t="str">
        <f t="shared" ref="L35:U35" si="43">IF(L3="","",L$34-1+L3)</f>
        <v/>
      </c>
      <c r="M35" s="109" t="str">
        <f t="shared" si="43"/>
        <v/>
      </c>
      <c r="N35" s="109" t="str">
        <f t="shared" si="43"/>
        <v/>
      </c>
      <c r="O35" s="109" t="str">
        <f t="shared" si="43"/>
        <v/>
      </c>
      <c r="P35" s="109" t="str">
        <f t="shared" si="43"/>
        <v/>
      </c>
      <c r="Q35" s="109" t="str">
        <f t="shared" si="43"/>
        <v/>
      </c>
      <c r="R35" s="109" t="str">
        <f t="shared" si="43"/>
        <v/>
      </c>
      <c r="S35" s="109" t="str">
        <f t="shared" si="43"/>
        <v/>
      </c>
      <c r="T35" s="109" t="str">
        <f t="shared" si="43"/>
        <v/>
      </c>
      <c r="U35" s="109" t="str">
        <f t="shared" si="43"/>
        <v/>
      </c>
      <c r="V35" s="109" t="str">
        <f t="shared" si="7"/>
        <v>J16</v>
      </c>
      <c r="W35" s="110">
        <f ca="1">W34</f>
        <v>19</v>
      </c>
      <c r="X35" s="111">
        <f ca="1">X34</f>
        <v>19</v>
      </c>
      <c r="Y35" s="111">
        <f ca="1">Y34</f>
        <v>19</v>
      </c>
      <c r="Z35" s="109">
        <v>0</v>
      </c>
      <c r="AA35" s="91" t="str">
        <f t="shared" si="40"/>
        <v>W2</v>
      </c>
      <c r="AB35" s="91">
        <v>34</v>
      </c>
      <c r="AC35" s="95">
        <f t="shared" ca="1" si="8"/>
        <v>46</v>
      </c>
      <c r="AD35" s="95" t="s">
        <v>910</v>
      </c>
      <c r="AE35" s="95" t="str">
        <f t="shared" ca="1" si="12"/>
        <v>W14</v>
      </c>
      <c r="AF35" s="95">
        <f t="shared" ca="1" si="9"/>
        <v>100000</v>
      </c>
      <c r="AG35" s="95" t="str">
        <f t="shared" ca="1" si="10"/>
        <v xml:space="preserve"> </v>
      </c>
      <c r="AH35" s="95" t="e">
        <f t="shared" ca="1" si="11"/>
        <v>#N/A</v>
      </c>
      <c r="AI35" s="55" t="s">
        <v>557</v>
      </c>
      <c r="AJ35" s="55" t="str">
        <f>Settings!$C$4&amp;" KUP POŽEGE - SAMOSTREL FIELD 18m"</f>
        <v>22. KUP POŽEGE - SAMOSTREL FIELD 18m</v>
      </c>
      <c r="AK35" s="55" t="s">
        <v>534</v>
      </c>
      <c r="AL35" s="53" t="str">
        <f>Settings!$C$4&amp;" KUP DUBRAVE - SAMOSTREL FIELD"</f>
        <v>22. KUP DUBRAVE - SAMOSTREL FIELD</v>
      </c>
      <c r="AM35" s="53" t="s">
        <v>560</v>
      </c>
      <c r="AN35" s="53" t="str">
        <f>Settings!$C$4&amp;" EUROPA CUP - CROSSBOW FIELD 18m"</f>
        <v>22. EUROPA CUP - CROSSBOW FIELD 18m</v>
      </c>
      <c r="AO35" s="53" t="str">
        <f>Settings!$C$4&amp;" MEMORIJALNI TURNIR BERISLAV RAJKOVIĆ"</f>
        <v>22. MEMORIJALNI TURNIR BERISLAV RAJKOVIĆ</v>
      </c>
      <c r="AP35" s="55" t="s">
        <v>727</v>
      </c>
      <c r="AQ35" s="55" t="str">
        <f>""</f>
        <v/>
      </c>
      <c r="AY35" s="55" t="s">
        <v>784</v>
      </c>
      <c r="AZ35" s="219">
        <v>44265</v>
      </c>
    </row>
    <row r="36" spans="1:52" x14ac:dyDescent="0.2">
      <c r="A36" s="45" t="s">
        <v>123</v>
      </c>
      <c r="B36" s="89" t="s">
        <v>310</v>
      </c>
      <c r="C36" s="90">
        <v>36</v>
      </c>
      <c r="D36" s="91" t="str">
        <f t="shared" si="41"/>
        <v>J8</v>
      </c>
      <c r="E36" s="91" t="str">
        <f t="shared" si="37"/>
        <v/>
      </c>
      <c r="F36" s="91" t="str">
        <f t="shared" si="38"/>
        <v/>
      </c>
      <c r="G36" s="91">
        <f t="shared" si="42"/>
        <v>14</v>
      </c>
      <c r="H36" s="91">
        <v>2</v>
      </c>
      <c r="I36" s="91">
        <v>8</v>
      </c>
      <c r="J36" s="109" t="str">
        <f t="shared" si="6"/>
        <v>J8</v>
      </c>
      <c r="K36" s="110">
        <f t="shared" ref="K36:U36" ca="1" si="44">IF(K4="","",K$34-1+K4)</f>
        <v>35</v>
      </c>
      <c r="L36" s="109">
        <f t="shared" ca="1" si="44"/>
        <v>34</v>
      </c>
      <c r="M36" s="109">
        <f t="shared" ca="1" si="44"/>
        <v>34</v>
      </c>
      <c r="N36" s="109">
        <f t="shared" ca="1" si="44"/>
        <v>34</v>
      </c>
      <c r="O36" s="109">
        <f t="shared" ca="1" si="44"/>
        <v>34</v>
      </c>
      <c r="P36" s="109">
        <f t="shared" ca="1" si="44"/>
        <v>34</v>
      </c>
      <c r="Q36" s="109">
        <f t="shared" ca="1" si="44"/>
        <v>34</v>
      </c>
      <c r="R36" s="109">
        <f t="shared" ca="1" si="44"/>
        <v>34</v>
      </c>
      <c r="S36" s="109">
        <f t="shared" ca="1" si="44"/>
        <v>34</v>
      </c>
      <c r="T36" s="109" t="str">
        <f t="shared" si="44"/>
        <v/>
      </c>
      <c r="U36" s="109" t="str">
        <f t="shared" si="44"/>
        <v/>
      </c>
      <c r="V36" s="109" t="str">
        <f t="shared" si="7"/>
        <v>J8</v>
      </c>
      <c r="W36" s="110">
        <f t="shared" ref="W36:Y49" ca="1" si="45">IF(W4="","",W$34-1+W4)</f>
        <v>20</v>
      </c>
      <c r="X36" s="111" t="str">
        <f t="shared" si="45"/>
        <v/>
      </c>
      <c r="Y36" s="111" t="str">
        <f t="shared" si="45"/>
        <v/>
      </c>
      <c r="Z36" s="109">
        <v>0</v>
      </c>
      <c r="AA36" s="91" t="str">
        <f t="shared" si="40"/>
        <v>W3</v>
      </c>
      <c r="AB36" s="91">
        <v>35</v>
      </c>
      <c r="AC36" s="95">
        <f t="shared" ca="1" si="8"/>
        <v>100000</v>
      </c>
      <c r="AD36" s="95" t="s">
        <v>911</v>
      </c>
      <c r="AE36" s="95" t="str">
        <f t="shared" ca="1" si="12"/>
        <v/>
      </c>
      <c r="AF36" s="95">
        <f t="shared" ca="1" si="9"/>
        <v>100000</v>
      </c>
      <c r="AG36" s="95" t="str">
        <f t="shared" ca="1" si="10"/>
        <v xml:space="preserve"> </v>
      </c>
      <c r="AH36" s="95" t="e">
        <f t="shared" ca="1" si="11"/>
        <v>#N/A</v>
      </c>
      <c r="AI36" s="55" t="s">
        <v>618</v>
      </c>
      <c r="AJ36" s="55" t="s">
        <v>686</v>
      </c>
      <c r="AK36" s="55" t="s">
        <v>690</v>
      </c>
      <c r="AL36" s="104" t="s">
        <v>687</v>
      </c>
      <c r="AM36" s="104" t="str">
        <f>Settings!C4&amp;" MEMORIÁL BEDŘICHA KORBAŘE"</f>
        <v>22. MEMORIÁL BEDŘICHA KORBAŘE</v>
      </c>
      <c r="AN36" s="53" t="str">
        <f>""</f>
        <v/>
      </c>
      <c r="AO36" s="53" t="str">
        <f>""</f>
        <v/>
      </c>
      <c r="AP36" s="55" t="str">
        <f>""</f>
        <v/>
      </c>
      <c r="AQ36" s="55" t="str">
        <f>""</f>
        <v/>
      </c>
      <c r="AY36" s="55" t="s">
        <v>785</v>
      </c>
      <c r="AZ36" s="219">
        <v>44272</v>
      </c>
    </row>
    <row r="37" spans="1:52" x14ac:dyDescent="0.2">
      <c r="A37" s="45" t="s">
        <v>117</v>
      </c>
      <c r="B37" s="89" t="s">
        <v>304</v>
      </c>
      <c r="C37" s="90">
        <v>37</v>
      </c>
      <c r="D37" s="91" t="str">
        <f t="shared" si="41"/>
        <v>J9</v>
      </c>
      <c r="E37" s="91" t="str">
        <f t="shared" si="37"/>
        <v/>
      </c>
      <c r="F37" s="91" t="str">
        <f t="shared" si="38"/>
        <v/>
      </c>
      <c r="G37" s="91">
        <f t="shared" si="42"/>
        <v>14</v>
      </c>
      <c r="H37" s="91">
        <v>2</v>
      </c>
      <c r="I37" s="91">
        <v>9</v>
      </c>
      <c r="J37" s="109" t="str">
        <f t="shared" si="6"/>
        <v>J9</v>
      </c>
      <c r="K37" s="110">
        <f t="shared" ref="K37:U37" ca="1" si="46">IF(K5="","",K$34-1+K5)</f>
        <v>36</v>
      </c>
      <c r="L37" s="109">
        <f t="shared" ca="1" si="46"/>
        <v>35</v>
      </c>
      <c r="M37" s="109">
        <f t="shared" ca="1" si="46"/>
        <v>35</v>
      </c>
      <c r="N37" s="109">
        <f t="shared" ca="1" si="46"/>
        <v>35</v>
      </c>
      <c r="O37" s="109">
        <f t="shared" ca="1" si="46"/>
        <v>35</v>
      </c>
      <c r="P37" s="109">
        <f t="shared" ca="1" si="46"/>
        <v>35</v>
      </c>
      <c r="Q37" s="109">
        <f t="shared" ca="1" si="46"/>
        <v>35</v>
      </c>
      <c r="R37" s="109">
        <f t="shared" ca="1" si="46"/>
        <v>35</v>
      </c>
      <c r="S37" s="109" t="str">
        <f t="shared" si="46"/>
        <v/>
      </c>
      <c r="T37" s="109" t="str">
        <f t="shared" si="46"/>
        <v/>
      </c>
      <c r="U37" s="109" t="str">
        <f t="shared" si="46"/>
        <v/>
      </c>
      <c r="V37" s="109" t="str">
        <f t="shared" si="7"/>
        <v>J9</v>
      </c>
      <c r="W37" s="110">
        <f t="shared" ca="1" si="45"/>
        <v>20</v>
      </c>
      <c r="X37" s="111" t="str">
        <f t="shared" si="45"/>
        <v/>
      </c>
      <c r="Y37" s="111" t="str">
        <f t="shared" si="45"/>
        <v/>
      </c>
      <c r="Z37" s="109">
        <v>0</v>
      </c>
      <c r="AA37" s="91" t="str">
        <f t="shared" si="40"/>
        <v>W4</v>
      </c>
      <c r="AB37" s="91">
        <v>36</v>
      </c>
      <c r="AC37" s="95">
        <f t="shared" ca="1" si="8"/>
        <v>100000</v>
      </c>
      <c r="AD37" s="95" t="s">
        <v>912</v>
      </c>
      <c r="AE37" s="95" t="str">
        <f t="shared" ca="1" si="12"/>
        <v/>
      </c>
      <c r="AF37" s="95">
        <f t="shared" ca="1" si="9"/>
        <v>100000</v>
      </c>
      <c r="AG37" s="95" t="str">
        <f t="shared" ca="1" si="10"/>
        <v xml:space="preserve"> </v>
      </c>
      <c r="AH37" s="95" t="e">
        <f t="shared" ca="1" si="11"/>
        <v>#N/A</v>
      </c>
      <c r="AI37" s="55" t="s">
        <v>619</v>
      </c>
      <c r="AJ37" s="55" t="str">
        <f>Settings!$C$4&amp;" AUSTRIA OPEN"</f>
        <v>22. AUSTRIA OPEN</v>
      </c>
      <c r="AK37" s="55" t="s">
        <v>729</v>
      </c>
      <c r="AL37" s="53" t="s">
        <v>728</v>
      </c>
      <c r="AM37" s="53" t="str">
        <f>""</f>
        <v/>
      </c>
      <c r="AN37" s="53" t="str">
        <f>""</f>
        <v/>
      </c>
      <c r="AO37" s="53" t="str">
        <f>""</f>
        <v/>
      </c>
      <c r="AP37" s="55" t="str">
        <f>""</f>
        <v/>
      </c>
      <c r="AQ37" s="55" t="str">
        <f>""</f>
        <v/>
      </c>
      <c r="AY37" s="55" t="s">
        <v>786</v>
      </c>
      <c r="AZ37" s="219">
        <v>44279</v>
      </c>
    </row>
    <row r="38" spans="1:52" x14ac:dyDescent="0.2">
      <c r="A38" s="45" t="s">
        <v>128</v>
      </c>
      <c r="B38" s="89" t="s">
        <v>315</v>
      </c>
      <c r="C38" s="90">
        <v>38</v>
      </c>
      <c r="D38" s="91" t="str">
        <f t="shared" si="41"/>
        <v>J4</v>
      </c>
      <c r="E38" s="91" t="str">
        <f t="shared" si="37"/>
        <v/>
      </c>
      <c r="F38" s="91" t="str">
        <f t="shared" si="38"/>
        <v/>
      </c>
      <c r="G38" s="91">
        <f>IF($AL$2=0,G6,15)</f>
        <v>15</v>
      </c>
      <c r="H38" s="91">
        <v>2</v>
      </c>
      <c r="I38" s="91">
        <v>4</v>
      </c>
      <c r="J38" s="109" t="str">
        <f t="shared" si="6"/>
        <v>J4</v>
      </c>
      <c r="K38" s="110">
        <f t="shared" ref="K38:U38" ca="1" si="47">IF(K6="","",K$34-1+K6)</f>
        <v>37</v>
      </c>
      <c r="L38" s="109">
        <f t="shared" ca="1" si="47"/>
        <v>36</v>
      </c>
      <c r="M38" s="109">
        <f t="shared" ca="1" si="47"/>
        <v>36</v>
      </c>
      <c r="N38" s="109">
        <f t="shared" ca="1" si="47"/>
        <v>36</v>
      </c>
      <c r="O38" s="109">
        <f t="shared" ca="1" si="47"/>
        <v>36</v>
      </c>
      <c r="P38" s="109">
        <f t="shared" ca="1" si="47"/>
        <v>36</v>
      </c>
      <c r="Q38" s="109">
        <f t="shared" ca="1" si="47"/>
        <v>36</v>
      </c>
      <c r="R38" s="109">
        <f t="shared" ca="1" si="47"/>
        <v>36</v>
      </c>
      <c r="S38" s="109">
        <f t="shared" ca="1" si="47"/>
        <v>35</v>
      </c>
      <c r="T38" s="109">
        <f t="shared" ca="1" si="47"/>
        <v>34</v>
      </c>
      <c r="U38" s="109">
        <f t="shared" ca="1" si="47"/>
        <v>34</v>
      </c>
      <c r="V38" s="109" t="str">
        <f t="shared" si="7"/>
        <v>J4</v>
      </c>
      <c r="W38" s="110">
        <f t="shared" ca="1" si="45"/>
        <v>21</v>
      </c>
      <c r="X38" s="111">
        <f t="shared" ca="1" si="45"/>
        <v>20</v>
      </c>
      <c r="Y38" s="111">
        <f t="shared" ca="1" si="45"/>
        <v>20</v>
      </c>
      <c r="Z38" s="109">
        <v>0</v>
      </c>
      <c r="AA38" s="91" t="str">
        <f t="shared" si="40"/>
        <v>W5</v>
      </c>
      <c r="AB38" s="91">
        <v>37</v>
      </c>
      <c r="AC38" s="95">
        <f t="shared" ca="1" si="8"/>
        <v>100000</v>
      </c>
      <c r="AD38" s="95" t="s">
        <v>913</v>
      </c>
      <c r="AE38" s="95" t="str">
        <f t="shared" ca="1" si="12"/>
        <v/>
      </c>
      <c r="AF38" s="95">
        <f t="shared" ca="1" si="9"/>
        <v>100000</v>
      </c>
      <c r="AG38" s="95" t="str">
        <f t="shared" ca="1" si="10"/>
        <v xml:space="preserve"> </v>
      </c>
      <c r="AH38" s="95" t="e">
        <f t="shared" ca="1" si="11"/>
        <v>#N/A</v>
      </c>
      <c r="AY38" s="55" t="s">
        <v>787</v>
      </c>
      <c r="AZ38" s="219">
        <v>44286</v>
      </c>
    </row>
    <row r="39" spans="1:52" x14ac:dyDescent="0.2">
      <c r="A39" s="45" t="s">
        <v>118</v>
      </c>
      <c r="B39" s="89" t="s">
        <v>305</v>
      </c>
      <c r="C39" s="90">
        <v>39</v>
      </c>
      <c r="D39" s="91" t="str">
        <f t="shared" si="41"/>
        <v>J13</v>
      </c>
      <c r="E39" s="91" t="str">
        <f t="shared" si="37"/>
        <v/>
      </c>
      <c r="F39" s="91" t="str">
        <f t="shared" si="38"/>
        <v/>
      </c>
      <c r="G39" s="91">
        <f t="shared" ref="G39:G41" si="48">IF($AL$2=0,G7,15)</f>
        <v>15</v>
      </c>
      <c r="H39" s="91">
        <v>2</v>
      </c>
      <c r="I39" s="91">
        <v>13</v>
      </c>
      <c r="J39" s="109" t="str">
        <f t="shared" si="6"/>
        <v>J13</v>
      </c>
      <c r="K39" s="110">
        <f t="shared" ref="K39:U39" ca="1" si="49">IF(K7="","",K$34-1+K7)</f>
        <v>38</v>
      </c>
      <c r="L39" s="109">
        <f t="shared" ca="1" si="49"/>
        <v>37</v>
      </c>
      <c r="M39" s="109">
        <f t="shared" ca="1" si="49"/>
        <v>37</v>
      </c>
      <c r="N39" s="109">
        <f t="shared" ca="1" si="49"/>
        <v>37</v>
      </c>
      <c r="O39" s="109" t="str">
        <f t="shared" si="49"/>
        <v/>
      </c>
      <c r="P39" s="109" t="str">
        <f t="shared" si="49"/>
        <v/>
      </c>
      <c r="Q39" s="109" t="str">
        <f t="shared" si="49"/>
        <v/>
      </c>
      <c r="R39" s="109" t="str">
        <f t="shared" si="49"/>
        <v/>
      </c>
      <c r="S39" s="109" t="str">
        <f t="shared" si="49"/>
        <v/>
      </c>
      <c r="T39" s="109" t="str">
        <f t="shared" si="49"/>
        <v/>
      </c>
      <c r="U39" s="109" t="str">
        <f t="shared" si="49"/>
        <v/>
      </c>
      <c r="V39" s="109" t="str">
        <f t="shared" si="7"/>
        <v>J13</v>
      </c>
      <c r="W39" s="110">
        <f t="shared" ca="1" si="45"/>
        <v>21</v>
      </c>
      <c r="X39" s="111">
        <f t="shared" ca="1" si="45"/>
        <v>20</v>
      </c>
      <c r="Y39" s="111">
        <f t="shared" ca="1" si="45"/>
        <v>20</v>
      </c>
      <c r="Z39" s="109">
        <v>0</v>
      </c>
      <c r="AA39" s="91" t="str">
        <f t="shared" si="40"/>
        <v>W6</v>
      </c>
      <c r="AB39" s="91">
        <v>38</v>
      </c>
      <c r="AC39" s="95">
        <f t="shared" ca="1" si="8"/>
        <v>100000</v>
      </c>
      <c r="AD39" s="95" t="s">
        <v>914</v>
      </c>
      <c r="AE39" s="95" t="str">
        <f t="shared" ca="1" si="12"/>
        <v/>
      </c>
      <c r="AF39" s="95">
        <f t="shared" ca="1" si="9"/>
        <v>100000</v>
      </c>
      <c r="AG39" s="95" t="str">
        <f t="shared" ca="1" si="10"/>
        <v xml:space="preserve"> </v>
      </c>
      <c r="AH39" s="95" t="e">
        <f t="shared" ca="1" si="11"/>
        <v>#N/A</v>
      </c>
      <c r="AY39" s="55" t="s">
        <v>788</v>
      </c>
      <c r="AZ39" s="219">
        <v>44293</v>
      </c>
    </row>
    <row r="40" spans="1:52" x14ac:dyDescent="0.2">
      <c r="A40" s="45" t="s">
        <v>115</v>
      </c>
      <c r="B40" s="89" t="s">
        <v>302</v>
      </c>
      <c r="C40" s="90">
        <v>40</v>
      </c>
      <c r="D40" s="91" t="str">
        <f t="shared" si="41"/>
        <v>J5</v>
      </c>
      <c r="E40" s="91" t="str">
        <f t="shared" si="37"/>
        <v/>
      </c>
      <c r="F40" s="91" t="str">
        <f t="shared" si="38"/>
        <v/>
      </c>
      <c r="G40" s="91">
        <f t="shared" si="48"/>
        <v>15</v>
      </c>
      <c r="H40" s="91">
        <v>2</v>
      </c>
      <c r="I40" s="91">
        <v>5</v>
      </c>
      <c r="J40" s="109" t="str">
        <f t="shared" si="6"/>
        <v>J5</v>
      </c>
      <c r="K40" s="110">
        <f t="shared" ref="K40:U40" ca="1" si="50">IF(K8="","",K$34-1+K8)</f>
        <v>39</v>
      </c>
      <c r="L40" s="109">
        <f t="shared" ca="1" si="50"/>
        <v>38</v>
      </c>
      <c r="M40" s="109">
        <f t="shared" ca="1" si="50"/>
        <v>38</v>
      </c>
      <c r="N40" s="109">
        <f t="shared" ca="1" si="50"/>
        <v>38</v>
      </c>
      <c r="O40" s="109">
        <f t="shared" ca="1" si="50"/>
        <v>37</v>
      </c>
      <c r="P40" s="109">
        <f t="shared" ca="1" si="50"/>
        <v>37</v>
      </c>
      <c r="Q40" s="109">
        <f t="shared" ca="1" si="50"/>
        <v>37</v>
      </c>
      <c r="R40" s="109">
        <f t="shared" ca="1" si="50"/>
        <v>37</v>
      </c>
      <c r="S40" s="109">
        <f t="shared" ca="1" si="50"/>
        <v>36</v>
      </c>
      <c r="T40" s="109">
        <f t="shared" ca="1" si="50"/>
        <v>35</v>
      </c>
      <c r="U40" s="109">
        <f t="shared" ca="1" si="50"/>
        <v>35</v>
      </c>
      <c r="V40" s="109" t="str">
        <f t="shared" si="7"/>
        <v>J5</v>
      </c>
      <c r="W40" s="110">
        <f t="shared" ca="1" si="45"/>
        <v>22</v>
      </c>
      <c r="X40" s="111">
        <f t="shared" ca="1" si="45"/>
        <v>21</v>
      </c>
      <c r="Y40" s="111">
        <f t="shared" ca="1" si="45"/>
        <v>21</v>
      </c>
      <c r="Z40" s="109">
        <v>0</v>
      </c>
      <c r="AA40" s="91" t="str">
        <f t="shared" si="40"/>
        <v>W7</v>
      </c>
      <c r="AB40" s="91">
        <v>39</v>
      </c>
      <c r="AC40" s="95">
        <f t="shared" ca="1" si="8"/>
        <v>100000</v>
      </c>
      <c r="AD40" s="95" t="s">
        <v>915</v>
      </c>
      <c r="AE40" s="95" t="str">
        <f t="shared" ca="1" si="12"/>
        <v/>
      </c>
      <c r="AF40" s="95">
        <f t="shared" ca="1" si="9"/>
        <v>100000</v>
      </c>
      <c r="AG40" s="95" t="str">
        <f t="shared" ca="1" si="10"/>
        <v xml:space="preserve"> </v>
      </c>
      <c r="AH40" s="95" t="e">
        <f t="shared" ca="1" si="11"/>
        <v>#N/A</v>
      </c>
      <c r="AY40" s="55" t="s">
        <v>789</v>
      </c>
      <c r="AZ40" s="219">
        <v>44300</v>
      </c>
    </row>
    <row r="41" spans="1:52" x14ac:dyDescent="0.2">
      <c r="A41" s="45" t="s">
        <v>119</v>
      </c>
      <c r="B41" s="89" t="s">
        <v>307</v>
      </c>
      <c r="C41" s="90">
        <v>41</v>
      </c>
      <c r="D41" s="91" t="str">
        <f t="shared" si="41"/>
        <v>J12</v>
      </c>
      <c r="E41" s="91" t="str">
        <f t="shared" si="37"/>
        <v/>
      </c>
      <c r="F41" s="91" t="str">
        <f t="shared" si="38"/>
        <v/>
      </c>
      <c r="G41" s="91">
        <f t="shared" si="48"/>
        <v>15</v>
      </c>
      <c r="H41" s="91">
        <v>2</v>
      </c>
      <c r="I41" s="91">
        <v>12</v>
      </c>
      <c r="J41" s="109" t="str">
        <f t="shared" si="6"/>
        <v>J12</v>
      </c>
      <c r="K41" s="110">
        <f t="shared" ref="K41:U41" ca="1" si="51">IF(K9="","",K$34-1+K9)</f>
        <v>40</v>
      </c>
      <c r="L41" s="109">
        <f t="shared" ca="1" si="51"/>
        <v>39</v>
      </c>
      <c r="M41" s="109">
        <f t="shared" ca="1" si="51"/>
        <v>39</v>
      </c>
      <c r="N41" s="109">
        <f t="shared" ca="1" si="51"/>
        <v>39</v>
      </c>
      <c r="O41" s="109">
        <f t="shared" ca="1" si="51"/>
        <v>38</v>
      </c>
      <c r="P41" s="109" t="str">
        <f t="shared" si="51"/>
        <v/>
      </c>
      <c r="Q41" s="109" t="str">
        <f t="shared" si="51"/>
        <v/>
      </c>
      <c r="R41" s="109" t="str">
        <f t="shared" si="51"/>
        <v/>
      </c>
      <c r="S41" s="109" t="str">
        <f t="shared" si="51"/>
        <v/>
      </c>
      <c r="T41" s="109" t="str">
        <f t="shared" si="51"/>
        <v/>
      </c>
      <c r="U41" s="109" t="str">
        <f t="shared" si="51"/>
        <v/>
      </c>
      <c r="V41" s="109" t="str">
        <f t="shared" si="7"/>
        <v>J12</v>
      </c>
      <c r="W41" s="110">
        <f t="shared" ca="1" si="45"/>
        <v>22</v>
      </c>
      <c r="X41" s="111">
        <f t="shared" ca="1" si="45"/>
        <v>21</v>
      </c>
      <c r="Y41" s="111">
        <f t="shared" ca="1" si="45"/>
        <v>21</v>
      </c>
      <c r="Z41" s="109">
        <v>0</v>
      </c>
      <c r="AA41" s="91" t="str">
        <f t="shared" si="40"/>
        <v>W8</v>
      </c>
      <c r="AB41" s="91">
        <v>40</v>
      </c>
      <c r="AC41" s="95">
        <f t="shared" ca="1" si="8"/>
        <v>100000</v>
      </c>
      <c r="AD41" s="95" t="s">
        <v>916</v>
      </c>
      <c r="AE41" s="95" t="str">
        <f t="shared" ca="1" si="12"/>
        <v/>
      </c>
      <c r="AF41" s="95">
        <f t="shared" ca="1" si="9"/>
        <v>100000</v>
      </c>
      <c r="AG41" s="95" t="str">
        <f t="shared" ca="1" si="10"/>
        <v xml:space="preserve"> </v>
      </c>
      <c r="AH41" s="95" t="e">
        <f t="shared" ca="1" si="11"/>
        <v>#N/A</v>
      </c>
      <c r="AJ41" s="55">
        <v>1</v>
      </c>
      <c r="AK41" s="55">
        <v>2</v>
      </c>
      <c r="AL41" s="55">
        <v>3</v>
      </c>
      <c r="AM41" s="55">
        <v>4</v>
      </c>
      <c r="AN41" s="55">
        <v>5</v>
      </c>
      <c r="AO41" s="55">
        <v>6</v>
      </c>
      <c r="AP41" s="55">
        <v>7</v>
      </c>
      <c r="AQ41" s="55">
        <v>8</v>
      </c>
      <c r="AR41" s="55">
        <v>9</v>
      </c>
      <c r="AS41" s="55">
        <v>10</v>
      </c>
      <c r="AT41" s="55">
        <v>11</v>
      </c>
      <c r="AU41" s="55">
        <v>12</v>
      </c>
      <c r="AV41" s="55">
        <v>13</v>
      </c>
      <c r="AW41" s="55">
        <v>14</v>
      </c>
      <c r="AX41" s="55">
        <v>15</v>
      </c>
      <c r="AY41" s="55" t="s">
        <v>790</v>
      </c>
      <c r="AZ41" s="219">
        <v>44307</v>
      </c>
    </row>
    <row r="42" spans="1:52" x14ac:dyDescent="0.2">
      <c r="A42" s="45" t="s">
        <v>120</v>
      </c>
      <c r="B42" s="89" t="s">
        <v>308</v>
      </c>
      <c r="C42" s="90">
        <v>42</v>
      </c>
      <c r="D42" s="91" t="str">
        <f t="shared" si="41"/>
        <v>J2</v>
      </c>
      <c r="E42" s="91" t="str">
        <f t="shared" si="37"/>
        <v/>
      </c>
      <c r="F42" s="91" t="str">
        <f t="shared" si="38"/>
        <v/>
      </c>
      <c r="G42" s="91">
        <f>IF($AL$2=0,G10,17)</f>
        <v>17</v>
      </c>
      <c r="H42" s="91">
        <v>3</v>
      </c>
      <c r="I42" s="91">
        <v>2</v>
      </c>
      <c r="J42" s="109" t="str">
        <f t="shared" si="6"/>
        <v>J2</v>
      </c>
      <c r="K42" s="110">
        <f t="shared" ref="K42:U42" ca="1" si="52">IF(K10="","",K$34-1+K10)</f>
        <v>41</v>
      </c>
      <c r="L42" s="109">
        <f t="shared" ca="1" si="52"/>
        <v>40</v>
      </c>
      <c r="M42" s="109">
        <f t="shared" ca="1" si="52"/>
        <v>40</v>
      </c>
      <c r="N42" s="109">
        <f t="shared" ca="1" si="52"/>
        <v>40</v>
      </c>
      <c r="O42" s="109">
        <f t="shared" ca="1" si="52"/>
        <v>39</v>
      </c>
      <c r="P42" s="109">
        <f t="shared" ca="1" si="52"/>
        <v>38</v>
      </c>
      <c r="Q42" s="109">
        <f t="shared" ca="1" si="52"/>
        <v>38</v>
      </c>
      <c r="R42" s="109">
        <f t="shared" ca="1" si="52"/>
        <v>38</v>
      </c>
      <c r="S42" s="109">
        <f t="shared" ca="1" si="52"/>
        <v>37</v>
      </c>
      <c r="T42" s="109">
        <f t="shared" ca="1" si="52"/>
        <v>36</v>
      </c>
      <c r="U42" s="109">
        <f t="shared" ca="1" si="52"/>
        <v>36</v>
      </c>
      <c r="V42" s="109" t="str">
        <f t="shared" si="7"/>
        <v>J2</v>
      </c>
      <c r="W42" s="110">
        <f t="shared" ca="1" si="45"/>
        <v>23</v>
      </c>
      <c r="X42" s="111">
        <f t="shared" ca="1" si="45"/>
        <v>22</v>
      </c>
      <c r="Y42" s="111">
        <f t="shared" ca="1" si="45"/>
        <v>22</v>
      </c>
      <c r="Z42" s="109">
        <v>0</v>
      </c>
      <c r="AA42" s="91" t="str">
        <f t="shared" si="40"/>
        <v>W9</v>
      </c>
      <c r="AB42" s="91">
        <v>41</v>
      </c>
      <c r="AC42" s="95">
        <f t="shared" ca="1" si="8"/>
        <v>100000</v>
      </c>
      <c r="AD42" s="95" t="s">
        <v>917</v>
      </c>
      <c r="AE42" s="95" t="str">
        <f t="shared" ca="1" si="12"/>
        <v/>
      </c>
      <c r="AF42" s="95">
        <f t="shared" ca="1" si="9"/>
        <v>100000</v>
      </c>
      <c r="AG42" s="95" t="str">
        <f t="shared" ca="1" si="10"/>
        <v xml:space="preserve"> </v>
      </c>
      <c r="AH42" s="95" t="e">
        <f t="shared" ca="1" si="11"/>
        <v>#N/A</v>
      </c>
      <c r="AI42" s="53" t="s">
        <v>562</v>
      </c>
      <c r="AJ42" s="112" t="s">
        <v>554</v>
      </c>
      <c r="AK42" s="112" t="s">
        <v>11</v>
      </c>
      <c r="AL42" s="112">
        <v>10</v>
      </c>
      <c r="AM42" s="55" t="str">
        <f>""</f>
        <v/>
      </c>
      <c r="AN42" s="112" t="s">
        <v>555</v>
      </c>
      <c r="AO42" s="112" t="s">
        <v>11</v>
      </c>
      <c r="AP42" s="112">
        <v>10</v>
      </c>
      <c r="AQ42" s="53" t="str">
        <f>""</f>
        <v/>
      </c>
      <c r="AR42" s="112" t="s">
        <v>556</v>
      </c>
      <c r="AS42" s="112" t="s">
        <v>11</v>
      </c>
      <c r="AT42" s="112">
        <v>10</v>
      </c>
      <c r="AU42" s="55" t="str">
        <f>""</f>
        <v/>
      </c>
      <c r="AV42" s="113" t="s">
        <v>603</v>
      </c>
      <c r="AW42" s="114" t="s">
        <v>11</v>
      </c>
      <c r="AX42" s="114">
        <v>10</v>
      </c>
      <c r="AY42" s="55" t="s">
        <v>791</v>
      </c>
      <c r="AZ42" s="219">
        <v>44314</v>
      </c>
    </row>
    <row r="43" spans="1:52" x14ac:dyDescent="0.2">
      <c r="A43" s="45" t="s">
        <v>38</v>
      </c>
      <c r="B43" s="89" t="s">
        <v>60</v>
      </c>
      <c r="C43" s="90">
        <v>43</v>
      </c>
      <c r="D43" s="91" t="str">
        <f t="shared" si="41"/>
        <v>J15</v>
      </c>
      <c r="E43" s="91" t="str">
        <f t="shared" si="37"/>
        <v/>
      </c>
      <c r="F43" s="91" t="str">
        <f t="shared" si="38"/>
        <v/>
      </c>
      <c r="G43" s="91">
        <f t="shared" ref="G43:G45" si="53">IF($AL$2=0,G11,17)</f>
        <v>17</v>
      </c>
      <c r="H43" s="91">
        <v>3</v>
      </c>
      <c r="I43" s="91">
        <v>15</v>
      </c>
      <c r="J43" s="109" t="str">
        <f t="shared" si="6"/>
        <v>J15</v>
      </c>
      <c r="K43" s="110">
        <f t="shared" ref="K43:U43" ca="1" si="54">IF(K11="","",K$34-1+K11)</f>
        <v>42</v>
      </c>
      <c r="L43" s="109">
        <f t="shared" ca="1" si="54"/>
        <v>41</v>
      </c>
      <c r="M43" s="109" t="str">
        <f t="shared" si="54"/>
        <v/>
      </c>
      <c r="N43" s="109" t="str">
        <f t="shared" si="54"/>
        <v/>
      </c>
      <c r="O43" s="109" t="str">
        <f t="shared" si="54"/>
        <v/>
      </c>
      <c r="P43" s="109" t="str">
        <f t="shared" si="54"/>
        <v/>
      </c>
      <c r="Q43" s="109" t="str">
        <f t="shared" si="54"/>
        <v/>
      </c>
      <c r="R43" s="109" t="str">
        <f t="shared" si="54"/>
        <v/>
      </c>
      <c r="S43" s="109" t="str">
        <f t="shared" si="54"/>
        <v/>
      </c>
      <c r="T43" s="109" t="str">
        <f t="shared" si="54"/>
        <v/>
      </c>
      <c r="U43" s="109" t="str">
        <f t="shared" si="54"/>
        <v/>
      </c>
      <c r="V43" s="109" t="str">
        <f t="shared" si="7"/>
        <v>J15</v>
      </c>
      <c r="W43" s="110">
        <f t="shared" ca="1" si="45"/>
        <v>23</v>
      </c>
      <c r="X43" s="111">
        <f t="shared" ca="1" si="45"/>
        <v>22</v>
      </c>
      <c r="Y43" s="111">
        <f t="shared" ca="1" si="45"/>
        <v>22</v>
      </c>
      <c r="Z43" s="109">
        <v>0</v>
      </c>
      <c r="AA43" s="91" t="str">
        <f t="shared" si="40"/>
        <v>W10</v>
      </c>
      <c r="AB43" s="91">
        <v>42</v>
      </c>
      <c r="AC43" s="95">
        <f t="shared" ca="1" si="8"/>
        <v>100000</v>
      </c>
      <c r="AD43" s="95" t="s">
        <v>918</v>
      </c>
      <c r="AE43" s="95" t="str">
        <f t="shared" ca="1" si="12"/>
        <v/>
      </c>
      <c r="AF43" s="95">
        <f t="shared" ca="1" si="9"/>
        <v>100000</v>
      </c>
      <c r="AG43" s="95" t="str">
        <f t="shared" ca="1" si="10"/>
        <v xml:space="preserve"> </v>
      </c>
      <c r="AH43" s="95" t="e">
        <f t="shared" ca="1" si="11"/>
        <v>#N/A</v>
      </c>
      <c r="AI43" s="53" t="s">
        <v>561</v>
      </c>
      <c r="AJ43" s="112" t="s">
        <v>23</v>
      </c>
      <c r="AK43" s="112" t="s">
        <v>24</v>
      </c>
      <c r="AL43" s="112" t="s">
        <v>25</v>
      </c>
      <c r="AM43" s="112" t="s">
        <v>26</v>
      </c>
      <c r="AN43" s="112" t="s">
        <v>27</v>
      </c>
      <c r="AO43" s="55" t="s">
        <v>608</v>
      </c>
      <c r="AP43" s="112" t="s">
        <v>28</v>
      </c>
      <c r="AQ43" s="112" t="s">
        <v>29</v>
      </c>
      <c r="AR43" s="112" t="s">
        <v>30</v>
      </c>
      <c r="AS43" s="112" t="s">
        <v>31</v>
      </c>
      <c r="AT43" s="112" t="s">
        <v>32</v>
      </c>
      <c r="AU43" s="115" t="s">
        <v>608</v>
      </c>
      <c r="AV43" s="113" t="s">
        <v>603</v>
      </c>
      <c r="AW43" s="114">
        <v>10</v>
      </c>
      <c r="AX43" s="115" t="s">
        <v>609</v>
      </c>
      <c r="AY43" s="55" t="s">
        <v>792</v>
      </c>
      <c r="AZ43" s="219">
        <v>44321</v>
      </c>
    </row>
    <row r="44" spans="1:52" x14ac:dyDescent="0.2">
      <c r="A44" s="45" t="s">
        <v>126</v>
      </c>
      <c r="B44" s="89" t="s">
        <v>313</v>
      </c>
      <c r="C44" s="90">
        <v>44</v>
      </c>
      <c r="D44" s="91" t="str">
        <f t="shared" si="41"/>
        <v>J7</v>
      </c>
      <c r="E44" s="91" t="str">
        <f t="shared" si="37"/>
        <v/>
      </c>
      <c r="F44" s="91" t="str">
        <f t="shared" si="38"/>
        <v/>
      </c>
      <c r="G44" s="91">
        <f t="shared" si="53"/>
        <v>17</v>
      </c>
      <c r="H44" s="91">
        <v>3</v>
      </c>
      <c r="I44" s="91">
        <v>7</v>
      </c>
      <c r="J44" s="109" t="str">
        <f t="shared" si="6"/>
        <v>J7</v>
      </c>
      <c r="K44" s="110">
        <f t="shared" ref="K44:U44" ca="1" si="55">IF(K12="","",K$34-1+K12)</f>
        <v>43</v>
      </c>
      <c r="L44" s="109">
        <f t="shared" ca="1" si="55"/>
        <v>42</v>
      </c>
      <c r="M44" s="109">
        <f t="shared" ca="1" si="55"/>
        <v>41</v>
      </c>
      <c r="N44" s="109">
        <f t="shared" ca="1" si="55"/>
        <v>41</v>
      </c>
      <c r="O44" s="109">
        <f t="shared" ca="1" si="55"/>
        <v>40</v>
      </c>
      <c r="P44" s="109">
        <f t="shared" ca="1" si="55"/>
        <v>39</v>
      </c>
      <c r="Q44" s="109">
        <f t="shared" ca="1" si="55"/>
        <v>39</v>
      </c>
      <c r="R44" s="109">
        <f t="shared" ca="1" si="55"/>
        <v>39</v>
      </c>
      <c r="S44" s="109">
        <f t="shared" ca="1" si="55"/>
        <v>38</v>
      </c>
      <c r="T44" s="109">
        <f t="shared" ca="1" si="55"/>
        <v>37</v>
      </c>
      <c r="U44" s="109" t="str">
        <f t="shared" si="55"/>
        <v/>
      </c>
      <c r="V44" s="109" t="str">
        <f t="shared" si="7"/>
        <v>J7</v>
      </c>
      <c r="W44" s="110">
        <f t="shared" ca="1" si="45"/>
        <v>24</v>
      </c>
      <c r="X44" s="111">
        <f t="shared" ca="1" si="45"/>
        <v>23</v>
      </c>
      <c r="Y44" s="111" t="str">
        <f t="shared" si="45"/>
        <v/>
      </c>
      <c r="Z44" s="109">
        <v>0</v>
      </c>
      <c r="AA44" s="91" t="str">
        <f t="shared" si="40"/>
        <v>W11</v>
      </c>
      <c r="AB44" s="91">
        <v>43</v>
      </c>
      <c r="AC44" s="95">
        <f t="shared" ca="1" si="8"/>
        <v>100000</v>
      </c>
      <c r="AD44" s="95" t="s">
        <v>919</v>
      </c>
      <c r="AE44" s="95" t="str">
        <f t="shared" ca="1" si="12"/>
        <v/>
      </c>
      <c r="AF44" s="95">
        <f t="shared" ca="1" si="9"/>
        <v>100000</v>
      </c>
      <c r="AG44" s="95" t="str">
        <f t="shared" ca="1" si="10"/>
        <v xml:space="preserve"> </v>
      </c>
      <c r="AH44" s="95" t="e">
        <f t="shared" ca="1" si="11"/>
        <v>#N/A</v>
      </c>
      <c r="AI44" s="53" t="s">
        <v>562</v>
      </c>
      <c r="AJ44" s="112" t="s">
        <v>554</v>
      </c>
      <c r="AK44" s="112" t="s">
        <v>555</v>
      </c>
      <c r="AL44" s="112" t="s">
        <v>556</v>
      </c>
      <c r="AM44" s="112" t="s">
        <v>723</v>
      </c>
      <c r="AN44" s="113" t="s">
        <v>603</v>
      </c>
      <c r="AO44" s="112"/>
      <c r="AP44" s="112"/>
      <c r="AQ44" s="112"/>
      <c r="AR44" s="112"/>
      <c r="AS44" s="112"/>
      <c r="AT44" s="116"/>
      <c r="AU44" s="114"/>
      <c r="AV44" s="114"/>
      <c r="AY44" s="55" t="s">
        <v>793</v>
      </c>
      <c r="AZ44" s="219">
        <v>44328</v>
      </c>
    </row>
    <row r="45" spans="1:52" x14ac:dyDescent="0.2">
      <c r="A45" s="45" t="s">
        <v>127</v>
      </c>
      <c r="B45" s="89" t="s">
        <v>314</v>
      </c>
      <c r="C45" s="90">
        <v>45</v>
      </c>
      <c r="D45" s="91" t="str">
        <f t="shared" si="41"/>
        <v>J10</v>
      </c>
      <c r="E45" s="91" t="str">
        <f t="shared" si="37"/>
        <v/>
      </c>
      <c r="F45" s="91" t="str">
        <f t="shared" si="38"/>
        <v/>
      </c>
      <c r="G45" s="91">
        <f t="shared" si="53"/>
        <v>17</v>
      </c>
      <c r="H45" s="91">
        <v>3</v>
      </c>
      <c r="I45" s="91">
        <v>10</v>
      </c>
      <c r="J45" s="109" t="str">
        <f t="shared" si="6"/>
        <v>J10</v>
      </c>
      <c r="K45" s="110">
        <f t="shared" ref="K45:U45" ca="1" si="56">IF(K13="","",K$34-1+K13)</f>
        <v>44</v>
      </c>
      <c r="L45" s="109">
        <f t="shared" ca="1" si="56"/>
        <v>43</v>
      </c>
      <c r="M45" s="109">
        <f t="shared" ca="1" si="56"/>
        <v>42</v>
      </c>
      <c r="N45" s="109">
        <f t="shared" ca="1" si="56"/>
        <v>42</v>
      </c>
      <c r="O45" s="109">
        <f t="shared" ca="1" si="56"/>
        <v>41</v>
      </c>
      <c r="P45" s="109">
        <f t="shared" ca="1" si="56"/>
        <v>40</v>
      </c>
      <c r="Q45" s="109">
        <f t="shared" ca="1" si="56"/>
        <v>40</v>
      </c>
      <c r="R45" s="109" t="str">
        <f t="shared" si="56"/>
        <v/>
      </c>
      <c r="S45" s="109" t="str">
        <f t="shared" si="56"/>
        <v/>
      </c>
      <c r="T45" s="109" t="str">
        <f t="shared" si="56"/>
        <v/>
      </c>
      <c r="U45" s="109" t="str">
        <f t="shared" si="56"/>
        <v/>
      </c>
      <c r="V45" s="109" t="str">
        <f t="shared" si="7"/>
        <v>J10</v>
      </c>
      <c r="W45" s="110">
        <f t="shared" ca="1" si="45"/>
        <v>24</v>
      </c>
      <c r="X45" s="111">
        <f t="shared" ca="1" si="45"/>
        <v>23</v>
      </c>
      <c r="Y45" s="111" t="str">
        <f t="shared" si="45"/>
        <v/>
      </c>
      <c r="Z45" s="109">
        <v>0</v>
      </c>
      <c r="AA45" s="91" t="str">
        <f t="shared" si="40"/>
        <v>W12</v>
      </c>
      <c r="AB45" s="91">
        <v>44</v>
      </c>
      <c r="AC45" s="95">
        <f t="shared" ca="1" si="8"/>
        <v>100000</v>
      </c>
      <c r="AD45" s="95" t="s">
        <v>920</v>
      </c>
      <c r="AE45" s="95" t="str">
        <f t="shared" ca="1" si="12"/>
        <v/>
      </c>
      <c r="AF45" s="95">
        <f t="shared" ca="1" si="9"/>
        <v>100000</v>
      </c>
      <c r="AG45" s="95" t="str">
        <f t="shared" ca="1" si="10"/>
        <v xml:space="preserve"> </v>
      </c>
      <c r="AH45" s="95" t="e">
        <f t="shared" ca="1" si="11"/>
        <v>#N/A</v>
      </c>
      <c r="AI45" s="53" t="s">
        <v>561</v>
      </c>
      <c r="AJ45" s="112" t="str">
        <f>""</f>
        <v/>
      </c>
      <c r="AK45" s="112" t="s">
        <v>608</v>
      </c>
      <c r="AL45" s="112" t="s">
        <v>608</v>
      </c>
      <c r="AM45" s="112" t="s">
        <v>724</v>
      </c>
      <c r="AN45" s="113" t="s">
        <v>603</v>
      </c>
      <c r="AO45" s="112"/>
      <c r="AP45" s="112"/>
      <c r="AQ45" s="117"/>
      <c r="AR45" s="117"/>
      <c r="AS45" s="117"/>
      <c r="AT45" s="118"/>
      <c r="AU45" s="114"/>
      <c r="AV45" s="119"/>
      <c r="AY45" s="55" t="s">
        <v>794</v>
      </c>
      <c r="AZ45" s="219">
        <v>44335</v>
      </c>
    </row>
    <row r="46" spans="1:52" x14ac:dyDescent="0.2">
      <c r="A46" s="45" t="s">
        <v>121</v>
      </c>
      <c r="B46" s="89" t="s">
        <v>306</v>
      </c>
      <c r="C46" s="90">
        <v>46</v>
      </c>
      <c r="D46" s="91" t="str">
        <f t="shared" si="41"/>
        <v>J3</v>
      </c>
      <c r="E46" s="91" t="str">
        <f t="shared" si="37"/>
        <v/>
      </c>
      <c r="F46" s="91" t="str">
        <f t="shared" si="38"/>
        <v/>
      </c>
      <c r="G46" s="91">
        <f>IF($AL$2=0,G14,18)</f>
        <v>18</v>
      </c>
      <c r="H46" s="91">
        <v>3</v>
      </c>
      <c r="I46" s="91">
        <v>3</v>
      </c>
      <c r="J46" s="109" t="str">
        <f t="shared" si="6"/>
        <v>J3</v>
      </c>
      <c r="K46" s="110">
        <f t="shared" ref="K46:U46" ca="1" si="57">IF(K14="","",K$34-1+K14)</f>
        <v>45</v>
      </c>
      <c r="L46" s="109">
        <f t="shared" ca="1" si="57"/>
        <v>44</v>
      </c>
      <c r="M46" s="109">
        <f t="shared" ca="1" si="57"/>
        <v>43</v>
      </c>
      <c r="N46" s="109">
        <f t="shared" ca="1" si="57"/>
        <v>43</v>
      </c>
      <c r="O46" s="109">
        <f t="shared" ca="1" si="57"/>
        <v>42</v>
      </c>
      <c r="P46" s="109">
        <f t="shared" ca="1" si="57"/>
        <v>41</v>
      </c>
      <c r="Q46" s="109">
        <f t="shared" ca="1" si="57"/>
        <v>41</v>
      </c>
      <c r="R46" s="109">
        <f t="shared" ca="1" si="57"/>
        <v>40</v>
      </c>
      <c r="S46" s="109">
        <f t="shared" ca="1" si="57"/>
        <v>39</v>
      </c>
      <c r="T46" s="109">
        <f t="shared" ca="1" si="57"/>
        <v>38</v>
      </c>
      <c r="U46" s="109">
        <f t="shared" ca="1" si="57"/>
        <v>37</v>
      </c>
      <c r="V46" s="109" t="str">
        <f t="shared" si="7"/>
        <v>J3</v>
      </c>
      <c r="W46" s="110">
        <f t="shared" ca="1" si="45"/>
        <v>25</v>
      </c>
      <c r="X46" s="111">
        <f t="shared" ca="1" si="45"/>
        <v>24</v>
      </c>
      <c r="Y46" s="111">
        <f t="shared" ca="1" si="45"/>
        <v>23</v>
      </c>
      <c r="Z46" s="109">
        <v>0</v>
      </c>
      <c r="AA46" s="91" t="str">
        <f t="shared" si="40"/>
        <v>W13</v>
      </c>
      <c r="AB46" s="91">
        <v>45</v>
      </c>
      <c r="AC46" s="95">
        <f t="shared" ca="1" si="8"/>
        <v>100000</v>
      </c>
      <c r="AD46" s="95" t="s">
        <v>921</v>
      </c>
      <c r="AE46" s="95" t="str">
        <f t="shared" ca="1" si="12"/>
        <v/>
      </c>
      <c r="AF46" s="95">
        <f t="shared" ca="1" si="9"/>
        <v>100000</v>
      </c>
      <c r="AG46" s="95" t="str">
        <f t="shared" ca="1" si="10"/>
        <v xml:space="preserve"> </v>
      </c>
      <c r="AH46" s="95" t="e">
        <f t="shared" ca="1" si="11"/>
        <v>#N/A</v>
      </c>
      <c r="AJ46" s="117"/>
      <c r="AK46" s="117"/>
      <c r="AL46" s="117"/>
      <c r="AM46" s="117"/>
      <c r="AN46" s="117"/>
      <c r="AO46" s="112"/>
      <c r="AP46" s="112"/>
      <c r="AQ46" s="117"/>
      <c r="AR46" s="117"/>
      <c r="AS46" s="117"/>
      <c r="AT46" s="118"/>
      <c r="AU46" s="114"/>
      <c r="AV46" s="119"/>
      <c r="AY46" s="55" t="s">
        <v>795</v>
      </c>
      <c r="AZ46" s="219">
        <v>44342</v>
      </c>
    </row>
    <row r="47" spans="1:52" x14ac:dyDescent="0.2">
      <c r="A47" s="45" t="s">
        <v>125</v>
      </c>
      <c r="B47" s="89" t="s">
        <v>312</v>
      </c>
      <c r="C47" s="90">
        <v>47</v>
      </c>
      <c r="D47" s="91" t="str">
        <f t="shared" si="41"/>
        <v>J14</v>
      </c>
      <c r="E47" s="91" t="str">
        <f t="shared" si="37"/>
        <v/>
      </c>
      <c r="F47" s="91" t="str">
        <f t="shared" si="38"/>
        <v/>
      </c>
      <c r="G47" s="91">
        <f t="shared" ref="G47:G49" si="58">IF($AL$2=0,G15,18)</f>
        <v>18</v>
      </c>
      <c r="H47" s="91">
        <v>3</v>
      </c>
      <c r="I47" s="91">
        <v>14</v>
      </c>
      <c r="J47" s="109" t="str">
        <f t="shared" si="6"/>
        <v>J14</v>
      </c>
      <c r="K47" s="110">
        <f t="shared" ref="K47:U47" ca="1" si="59">IF(K15="","",K$34-1+K15)</f>
        <v>46</v>
      </c>
      <c r="L47" s="109">
        <f t="shared" ca="1" si="59"/>
        <v>45</v>
      </c>
      <c r="M47" s="109">
        <f t="shared" ca="1" si="59"/>
        <v>44</v>
      </c>
      <c r="N47" s="109" t="str">
        <f t="shared" si="59"/>
        <v/>
      </c>
      <c r="O47" s="109" t="str">
        <f t="shared" si="59"/>
        <v/>
      </c>
      <c r="P47" s="109" t="str">
        <f t="shared" si="59"/>
        <v/>
      </c>
      <c r="Q47" s="109" t="str">
        <f t="shared" si="59"/>
        <v/>
      </c>
      <c r="R47" s="109" t="str">
        <f t="shared" si="59"/>
        <v/>
      </c>
      <c r="S47" s="109" t="str">
        <f t="shared" si="59"/>
        <v/>
      </c>
      <c r="T47" s="109" t="str">
        <f t="shared" si="59"/>
        <v/>
      </c>
      <c r="U47" s="109" t="str">
        <f t="shared" si="59"/>
        <v/>
      </c>
      <c r="V47" s="109" t="str">
        <f t="shared" si="7"/>
        <v>J14</v>
      </c>
      <c r="W47" s="110">
        <f t="shared" ca="1" si="45"/>
        <v>25</v>
      </c>
      <c r="X47" s="111">
        <f t="shared" ca="1" si="45"/>
        <v>24</v>
      </c>
      <c r="Y47" s="111">
        <f t="shared" ca="1" si="45"/>
        <v>23</v>
      </c>
      <c r="Z47" s="109">
        <v>0</v>
      </c>
      <c r="AA47" s="91" t="str">
        <f t="shared" si="40"/>
        <v>W14</v>
      </c>
      <c r="AB47" s="91">
        <v>46</v>
      </c>
      <c r="AC47" s="95">
        <f t="shared" ca="1" si="8"/>
        <v>100000</v>
      </c>
      <c r="AD47" s="95" t="s">
        <v>922</v>
      </c>
      <c r="AE47" s="95" t="str">
        <f t="shared" ca="1" si="12"/>
        <v/>
      </c>
      <c r="AF47" s="95">
        <f t="shared" ca="1" si="9"/>
        <v>100000</v>
      </c>
      <c r="AG47" s="95" t="str">
        <f t="shared" ca="1" si="10"/>
        <v xml:space="preserve"> </v>
      </c>
      <c r="AH47" s="95" t="e">
        <f t="shared" ca="1" si="11"/>
        <v>#N/A</v>
      </c>
      <c r="AJ47" s="117"/>
      <c r="AK47" s="117"/>
      <c r="AL47" s="117"/>
      <c r="AM47" s="117"/>
      <c r="AN47" s="117"/>
      <c r="AO47" s="112"/>
      <c r="AP47" s="112"/>
      <c r="AQ47" s="117"/>
      <c r="AR47" s="117"/>
      <c r="AS47" s="117"/>
      <c r="AT47" s="118"/>
      <c r="AU47" s="114"/>
      <c r="AV47" s="120"/>
      <c r="AY47" s="55" t="s">
        <v>796</v>
      </c>
      <c r="AZ47" s="219">
        <v>44349</v>
      </c>
    </row>
    <row r="48" spans="1:52" x14ac:dyDescent="0.2">
      <c r="A48" s="45" t="s">
        <v>129</v>
      </c>
      <c r="B48" s="89" t="s">
        <v>316</v>
      </c>
      <c r="C48" s="90">
        <v>48</v>
      </c>
      <c r="D48" s="91" t="str">
        <f t="shared" si="41"/>
        <v>J6</v>
      </c>
      <c r="E48" s="91" t="str">
        <f t="shared" si="37"/>
        <v/>
      </c>
      <c r="F48" s="91" t="str">
        <f t="shared" si="38"/>
        <v/>
      </c>
      <c r="G48" s="91">
        <f t="shared" si="58"/>
        <v>18</v>
      </c>
      <c r="H48" s="91">
        <v>3</v>
      </c>
      <c r="I48" s="91">
        <v>6</v>
      </c>
      <c r="J48" s="109" t="str">
        <f t="shared" si="6"/>
        <v>J6</v>
      </c>
      <c r="K48" s="110">
        <f t="shared" ref="K48:U48" ca="1" si="60">IF(K16="","",K$34-1+K16)</f>
        <v>47</v>
      </c>
      <c r="L48" s="109">
        <f t="shared" ca="1" si="60"/>
        <v>46</v>
      </c>
      <c r="M48" s="109">
        <f t="shared" ca="1" si="60"/>
        <v>45</v>
      </c>
      <c r="N48" s="109">
        <f t="shared" ca="1" si="60"/>
        <v>44</v>
      </c>
      <c r="O48" s="109">
        <f t="shared" ca="1" si="60"/>
        <v>43</v>
      </c>
      <c r="P48" s="109">
        <f t="shared" ca="1" si="60"/>
        <v>42</v>
      </c>
      <c r="Q48" s="109">
        <f t="shared" ca="1" si="60"/>
        <v>42</v>
      </c>
      <c r="R48" s="109">
        <f t="shared" ca="1" si="60"/>
        <v>41</v>
      </c>
      <c r="S48" s="109">
        <f t="shared" ca="1" si="60"/>
        <v>40</v>
      </c>
      <c r="T48" s="109">
        <f t="shared" ca="1" si="60"/>
        <v>39</v>
      </c>
      <c r="U48" s="109">
        <f t="shared" ca="1" si="60"/>
        <v>38</v>
      </c>
      <c r="V48" s="109" t="str">
        <f t="shared" si="7"/>
        <v>J6</v>
      </c>
      <c r="W48" s="110">
        <f t="shared" ca="1" si="45"/>
        <v>26</v>
      </c>
      <c r="X48" s="111">
        <f t="shared" ca="1" si="45"/>
        <v>25</v>
      </c>
      <c r="Y48" s="111">
        <f t="shared" ca="1" si="45"/>
        <v>24</v>
      </c>
      <c r="Z48" s="109">
        <v>0</v>
      </c>
      <c r="AA48" s="91" t="str">
        <f t="shared" si="40"/>
        <v>W15</v>
      </c>
      <c r="AB48" s="91">
        <v>47</v>
      </c>
      <c r="AC48" s="95">
        <f t="shared" ca="1" si="8"/>
        <v>100000</v>
      </c>
      <c r="AD48" s="95" t="s">
        <v>923</v>
      </c>
      <c r="AE48" s="95" t="str">
        <f t="shared" ca="1" si="12"/>
        <v/>
      </c>
      <c r="AF48" s="95">
        <f t="shared" ca="1" si="9"/>
        <v>100000</v>
      </c>
      <c r="AG48" s="95" t="str">
        <f t="shared" ca="1" si="10"/>
        <v xml:space="preserve"> </v>
      </c>
      <c r="AH48" s="95" t="e">
        <f t="shared" ca="1" si="11"/>
        <v>#N/A</v>
      </c>
      <c r="AY48" s="55" t="s">
        <v>797</v>
      </c>
      <c r="AZ48" s="219">
        <v>44356</v>
      </c>
    </row>
    <row r="49" spans="1:52" x14ac:dyDescent="0.2">
      <c r="A49" s="45" t="s">
        <v>122</v>
      </c>
      <c r="B49" s="89" t="s">
        <v>309</v>
      </c>
      <c r="C49" s="90">
        <v>49</v>
      </c>
      <c r="D49" s="91" t="str">
        <f t="shared" si="41"/>
        <v>J11</v>
      </c>
      <c r="E49" s="91" t="str">
        <f t="shared" si="37"/>
        <v/>
      </c>
      <c r="F49" s="91" t="str">
        <f t="shared" si="38"/>
        <v/>
      </c>
      <c r="G49" s="91">
        <f t="shared" si="58"/>
        <v>18</v>
      </c>
      <c r="H49" s="91">
        <v>3</v>
      </c>
      <c r="I49" s="91">
        <v>11</v>
      </c>
      <c r="J49" s="109" t="str">
        <f t="shared" si="6"/>
        <v>J11</v>
      </c>
      <c r="K49" s="110">
        <f t="shared" ref="K49:U49" ca="1" si="61">IF(K17="","",K$34-1+K17)</f>
        <v>48</v>
      </c>
      <c r="L49" s="109">
        <f t="shared" ca="1" si="61"/>
        <v>47</v>
      </c>
      <c r="M49" s="109">
        <f t="shared" ca="1" si="61"/>
        <v>46</v>
      </c>
      <c r="N49" s="109">
        <f t="shared" ca="1" si="61"/>
        <v>45</v>
      </c>
      <c r="O49" s="109">
        <f t="shared" ca="1" si="61"/>
        <v>44</v>
      </c>
      <c r="P49" s="109">
        <f t="shared" ca="1" si="61"/>
        <v>43</v>
      </c>
      <c r="Q49" s="109" t="str">
        <f t="shared" si="61"/>
        <v/>
      </c>
      <c r="R49" s="109" t="str">
        <f t="shared" si="61"/>
        <v/>
      </c>
      <c r="S49" s="109" t="str">
        <f t="shared" si="61"/>
        <v/>
      </c>
      <c r="T49" s="109" t="str">
        <f t="shared" si="61"/>
        <v/>
      </c>
      <c r="U49" s="109" t="str">
        <f t="shared" si="61"/>
        <v/>
      </c>
      <c r="V49" s="109" t="str">
        <f t="shared" si="7"/>
        <v>J11</v>
      </c>
      <c r="W49" s="110">
        <f t="shared" ca="1" si="45"/>
        <v>26</v>
      </c>
      <c r="X49" s="111">
        <f t="shared" ca="1" si="45"/>
        <v>25</v>
      </c>
      <c r="Y49" s="111">
        <f t="shared" ca="1" si="45"/>
        <v>24</v>
      </c>
      <c r="Z49" s="109">
        <v>0</v>
      </c>
      <c r="AA49" s="91" t="str">
        <f t="shared" si="40"/>
        <v>W16</v>
      </c>
      <c r="AB49" s="91">
        <v>48</v>
      </c>
      <c r="AC49" s="95">
        <f t="shared" ca="1" si="8"/>
        <v>100000</v>
      </c>
      <c r="AD49" s="95" t="s">
        <v>924</v>
      </c>
      <c r="AE49" s="95" t="str">
        <f t="shared" ca="1" si="12"/>
        <v/>
      </c>
      <c r="AF49" s="95">
        <f t="shared" ca="1" si="9"/>
        <v>100000</v>
      </c>
      <c r="AG49" s="95" t="str">
        <f t="shared" ca="1" si="10"/>
        <v xml:space="preserve"> </v>
      </c>
      <c r="AH49" s="95" t="e">
        <f t="shared" ca="1" si="11"/>
        <v>#N/A</v>
      </c>
      <c r="AI49" s="53">
        <v>1</v>
      </c>
      <c r="AJ49" s="53" t="s">
        <v>1117</v>
      </c>
      <c r="AY49" s="55" t="s">
        <v>798</v>
      </c>
      <c r="AZ49" s="219">
        <v>44363</v>
      </c>
    </row>
    <row r="50" spans="1:52" x14ac:dyDescent="0.2">
      <c r="A50" s="45" t="s">
        <v>12</v>
      </c>
      <c r="B50" s="89" t="s">
        <v>61</v>
      </c>
      <c r="C50" s="90">
        <v>50</v>
      </c>
      <c r="D50" s="91" t="str">
        <f>$AJ$5&amp;I50</f>
        <v>C1</v>
      </c>
      <c r="E50" s="91" t="str">
        <f t="shared" ref="E50:E65" si="62">IFERROR(HLOOKUP($AL$5,$J$1:$U$81,C50,FALSE),"")</f>
        <v/>
      </c>
      <c r="F50" s="91" t="str">
        <f t="shared" ref="F50:F65" si="63">IFERROR(HLOOKUP($AM$5,$V$1:$Y$97,C50,FALSE),"")</f>
        <v/>
      </c>
      <c r="G50" s="91">
        <f>IF($AL$2=0,G18,20)</f>
        <v>20</v>
      </c>
      <c r="H50" s="91">
        <v>8</v>
      </c>
      <c r="I50" s="91">
        <v>1</v>
      </c>
      <c r="J50" s="121" t="str">
        <f t="shared" si="6"/>
        <v>C1</v>
      </c>
      <c r="K50" s="122">
        <f t="shared" ref="K50:U50" ca="1" si="64">MAX(INDIRECT(VLOOKUP($AL$4,$AI$8:$AO$24,4,FALSE)))+2</f>
        <v>2</v>
      </c>
      <c r="L50" s="121">
        <f t="shared" ca="1" si="64"/>
        <v>2</v>
      </c>
      <c r="M50" s="121">
        <f t="shared" ca="1" si="64"/>
        <v>2</v>
      </c>
      <c r="N50" s="121">
        <f t="shared" ca="1" si="64"/>
        <v>2</v>
      </c>
      <c r="O50" s="121">
        <f t="shared" ca="1" si="64"/>
        <v>2</v>
      </c>
      <c r="P50" s="121">
        <f t="shared" ca="1" si="64"/>
        <v>2</v>
      </c>
      <c r="Q50" s="121">
        <f t="shared" ca="1" si="64"/>
        <v>2</v>
      </c>
      <c r="R50" s="121">
        <f t="shared" ca="1" si="64"/>
        <v>2</v>
      </c>
      <c r="S50" s="121">
        <f t="shared" ca="1" si="64"/>
        <v>2</v>
      </c>
      <c r="T50" s="121">
        <f t="shared" ca="1" si="64"/>
        <v>2</v>
      </c>
      <c r="U50" s="121">
        <f t="shared" ca="1" si="64"/>
        <v>2</v>
      </c>
      <c r="V50" s="121" t="str">
        <f t="shared" si="7"/>
        <v>C1</v>
      </c>
      <c r="W50" s="122">
        <f ca="1">MAX(INDIRECT(VLOOKUP($AM$4,$AI$25:$AO$33,4,FALSE)))+2</f>
        <v>2</v>
      </c>
      <c r="X50" s="123">
        <f ca="1">MAX(INDIRECT(VLOOKUP($AM$4,$AI$25:$AO$33,4,FALSE)))+2</f>
        <v>2</v>
      </c>
      <c r="Y50" s="123">
        <f ca="1">MAX(INDIRECT(VLOOKUP($AM$4,$AI$25:$AO$33,4,FALSE)))+2</f>
        <v>2</v>
      </c>
      <c r="Z50" s="123">
        <v>0</v>
      </c>
      <c r="AA50" s="91" t="str">
        <f t="shared" ref="AA50:AA65" si="65">$AJ$4&amp;C1</f>
        <v>J1</v>
      </c>
      <c r="AB50" s="91">
        <v>49</v>
      </c>
      <c r="AC50" s="95">
        <f t="shared" ca="1" si="8"/>
        <v>100000</v>
      </c>
      <c r="AD50" s="95" t="s">
        <v>925</v>
      </c>
      <c r="AE50" s="95" t="str">
        <f t="shared" ca="1" si="12"/>
        <v/>
      </c>
      <c r="AF50" s="95">
        <f t="shared" ca="1" si="9"/>
        <v>100000</v>
      </c>
      <c r="AG50" s="95" t="str">
        <f t="shared" ca="1" si="10"/>
        <v xml:space="preserve"> </v>
      </c>
      <c r="AH50" s="95" t="e">
        <f t="shared" ca="1" si="11"/>
        <v>#N/A</v>
      </c>
      <c r="AI50" s="53">
        <v>2</v>
      </c>
      <c r="AJ50" s="53" t="s">
        <v>1119</v>
      </c>
      <c r="AY50" s="55" t="s">
        <v>799</v>
      </c>
      <c r="AZ50" s="219">
        <v>44370</v>
      </c>
    </row>
    <row r="51" spans="1:52" x14ac:dyDescent="0.2">
      <c r="A51" s="45" t="s">
        <v>130</v>
      </c>
      <c r="B51" s="89" t="s">
        <v>317</v>
      </c>
      <c r="C51" s="90">
        <v>51</v>
      </c>
      <c r="D51" s="91" t="str">
        <f t="shared" ref="D51:D65" si="66">$AJ$5&amp;I51</f>
        <v>C16</v>
      </c>
      <c r="E51" s="91" t="str">
        <f t="shared" si="62"/>
        <v/>
      </c>
      <c r="F51" s="91" t="str">
        <f t="shared" si="63"/>
        <v/>
      </c>
      <c r="G51" s="91">
        <f t="shared" ref="G51:G53" si="67">IF($AL$2=0,G19,20)</f>
        <v>20</v>
      </c>
      <c r="H51" s="91">
        <v>8</v>
      </c>
      <c r="I51" s="91">
        <v>16</v>
      </c>
      <c r="J51" s="121" t="str">
        <f t="shared" si="6"/>
        <v>C16</v>
      </c>
      <c r="K51" s="122">
        <f ca="1">IF(K3="","",K$50-1+K3)</f>
        <v>3</v>
      </c>
      <c r="L51" s="121" t="str">
        <f t="shared" ref="L51:U51" si="68">IF(L3="","",L$50-1+L3)</f>
        <v/>
      </c>
      <c r="M51" s="121" t="str">
        <f t="shared" si="68"/>
        <v/>
      </c>
      <c r="N51" s="121" t="str">
        <f t="shared" si="68"/>
        <v/>
      </c>
      <c r="O51" s="121" t="str">
        <f t="shared" si="68"/>
        <v/>
      </c>
      <c r="P51" s="121" t="str">
        <f t="shared" si="68"/>
        <v/>
      </c>
      <c r="Q51" s="121" t="str">
        <f t="shared" si="68"/>
        <v/>
      </c>
      <c r="R51" s="121" t="str">
        <f t="shared" si="68"/>
        <v/>
      </c>
      <c r="S51" s="121" t="str">
        <f t="shared" si="68"/>
        <v/>
      </c>
      <c r="T51" s="121" t="str">
        <f t="shared" si="68"/>
        <v/>
      </c>
      <c r="U51" s="121" t="str">
        <f t="shared" si="68"/>
        <v/>
      </c>
      <c r="V51" s="121" t="str">
        <f t="shared" si="7"/>
        <v>C16</v>
      </c>
      <c r="W51" s="122">
        <f ca="1">W50</f>
        <v>2</v>
      </c>
      <c r="X51" s="123">
        <f ca="1">X50</f>
        <v>2</v>
      </c>
      <c r="Y51" s="123">
        <f ca="1">Y50</f>
        <v>2</v>
      </c>
      <c r="Z51" s="121">
        <v>0</v>
      </c>
      <c r="AA51" s="91" t="str">
        <f t="shared" si="65"/>
        <v>J2</v>
      </c>
      <c r="AB51" s="91">
        <v>50</v>
      </c>
      <c r="AC51" s="95">
        <f t="shared" ca="1" si="8"/>
        <v>100000</v>
      </c>
      <c r="AD51" s="95" t="s">
        <v>926</v>
      </c>
      <c r="AE51" s="95" t="str">
        <f t="shared" ca="1" si="12"/>
        <v/>
      </c>
      <c r="AF51" s="95">
        <f t="shared" ca="1" si="9"/>
        <v>100000</v>
      </c>
      <c r="AG51" s="95" t="str">
        <f t="shared" ca="1" si="10"/>
        <v xml:space="preserve"> </v>
      </c>
      <c r="AH51" s="95" t="e">
        <f t="shared" ca="1" si="11"/>
        <v>#N/A</v>
      </c>
      <c r="AI51" s="53">
        <v>3</v>
      </c>
      <c r="AJ51" s="53" t="s">
        <v>1120</v>
      </c>
      <c r="AY51" s="55" t="s">
        <v>800</v>
      </c>
      <c r="AZ51" s="219">
        <v>44377</v>
      </c>
    </row>
    <row r="52" spans="1:52" x14ac:dyDescent="0.2">
      <c r="A52" s="45" t="s">
        <v>131</v>
      </c>
      <c r="B52" s="89" t="s">
        <v>318</v>
      </c>
      <c r="C52" s="90">
        <v>52</v>
      </c>
      <c r="D52" s="91" t="str">
        <f t="shared" si="66"/>
        <v>C8</v>
      </c>
      <c r="E52" s="91" t="str">
        <f t="shared" si="62"/>
        <v/>
      </c>
      <c r="F52" s="91" t="str">
        <f t="shared" si="63"/>
        <v/>
      </c>
      <c r="G52" s="91">
        <f t="shared" si="67"/>
        <v>20</v>
      </c>
      <c r="H52" s="91">
        <v>8</v>
      </c>
      <c r="I52" s="91">
        <v>8</v>
      </c>
      <c r="J52" s="121" t="str">
        <f t="shared" si="6"/>
        <v>C8</v>
      </c>
      <c r="K52" s="122">
        <f t="shared" ref="K52:U52" ca="1" si="69">IF(K4="","",K$50-1+K4)</f>
        <v>4</v>
      </c>
      <c r="L52" s="121">
        <f t="shared" ca="1" si="69"/>
        <v>3</v>
      </c>
      <c r="M52" s="121">
        <f t="shared" ca="1" si="69"/>
        <v>3</v>
      </c>
      <c r="N52" s="121">
        <f t="shared" ca="1" si="69"/>
        <v>3</v>
      </c>
      <c r="O52" s="121">
        <f t="shared" ca="1" si="69"/>
        <v>3</v>
      </c>
      <c r="P52" s="121">
        <f t="shared" ca="1" si="69"/>
        <v>3</v>
      </c>
      <c r="Q52" s="121">
        <f t="shared" ca="1" si="69"/>
        <v>3</v>
      </c>
      <c r="R52" s="121">
        <f t="shared" ca="1" si="69"/>
        <v>3</v>
      </c>
      <c r="S52" s="121">
        <f t="shared" ca="1" si="69"/>
        <v>3</v>
      </c>
      <c r="T52" s="121" t="str">
        <f t="shared" si="69"/>
        <v/>
      </c>
      <c r="U52" s="121" t="str">
        <f t="shared" si="69"/>
        <v/>
      </c>
      <c r="V52" s="121" t="str">
        <f t="shared" si="7"/>
        <v>C8</v>
      </c>
      <c r="W52" s="122">
        <f t="shared" ref="W52:Y65" ca="1" si="70">IF(W4="","",W$50-1+W4)</f>
        <v>3</v>
      </c>
      <c r="X52" s="123" t="str">
        <f t="shared" si="70"/>
        <v/>
      </c>
      <c r="Y52" s="123" t="str">
        <f t="shared" si="70"/>
        <v/>
      </c>
      <c r="Z52" s="121">
        <v>0</v>
      </c>
      <c r="AA52" s="91" t="str">
        <f t="shared" si="65"/>
        <v>J3</v>
      </c>
      <c r="AB52" s="91">
        <v>51</v>
      </c>
      <c r="AC52" s="95">
        <f t="shared" ca="1" si="8"/>
        <v>100000</v>
      </c>
      <c r="AD52" s="95" t="s">
        <v>927</v>
      </c>
      <c r="AE52" s="95" t="str">
        <f t="shared" ca="1" si="12"/>
        <v/>
      </c>
      <c r="AF52" s="95">
        <f t="shared" ca="1" si="9"/>
        <v>100000</v>
      </c>
      <c r="AG52" s="95" t="str">
        <f t="shared" ca="1" si="10"/>
        <v xml:space="preserve"> </v>
      </c>
      <c r="AH52" s="95" t="e">
        <f t="shared" ca="1" si="11"/>
        <v>#N/A</v>
      </c>
      <c r="AI52" s="53">
        <v>4</v>
      </c>
      <c r="AJ52" s="53" t="s">
        <v>1121</v>
      </c>
      <c r="AY52" s="55" t="s">
        <v>801</v>
      </c>
      <c r="AZ52" s="219">
        <v>44384</v>
      </c>
    </row>
    <row r="53" spans="1:52" x14ac:dyDescent="0.2">
      <c r="A53" s="45" t="s">
        <v>132</v>
      </c>
      <c r="B53" s="89" t="s">
        <v>62</v>
      </c>
      <c r="C53" s="90">
        <v>53</v>
      </c>
      <c r="D53" s="91" t="str">
        <f t="shared" si="66"/>
        <v>C9</v>
      </c>
      <c r="E53" s="91" t="str">
        <f t="shared" si="62"/>
        <v/>
      </c>
      <c r="F53" s="91" t="str">
        <f t="shared" si="63"/>
        <v/>
      </c>
      <c r="G53" s="91">
        <f t="shared" si="67"/>
        <v>20</v>
      </c>
      <c r="H53" s="91">
        <v>8</v>
      </c>
      <c r="I53" s="91">
        <v>9</v>
      </c>
      <c r="J53" s="121" t="str">
        <f t="shared" si="6"/>
        <v>C9</v>
      </c>
      <c r="K53" s="122">
        <f t="shared" ref="K53:U53" ca="1" si="71">IF(K5="","",K$50-1+K5)</f>
        <v>5</v>
      </c>
      <c r="L53" s="121">
        <f t="shared" ca="1" si="71"/>
        <v>4</v>
      </c>
      <c r="M53" s="121">
        <f t="shared" ca="1" si="71"/>
        <v>4</v>
      </c>
      <c r="N53" s="121">
        <f t="shared" ca="1" si="71"/>
        <v>4</v>
      </c>
      <c r="O53" s="121">
        <f t="shared" ca="1" si="71"/>
        <v>4</v>
      </c>
      <c r="P53" s="121">
        <f t="shared" ca="1" si="71"/>
        <v>4</v>
      </c>
      <c r="Q53" s="121">
        <f t="shared" ca="1" si="71"/>
        <v>4</v>
      </c>
      <c r="R53" s="121">
        <f t="shared" ca="1" si="71"/>
        <v>4</v>
      </c>
      <c r="S53" s="121" t="str">
        <f t="shared" si="71"/>
        <v/>
      </c>
      <c r="T53" s="121" t="str">
        <f t="shared" si="71"/>
        <v/>
      </c>
      <c r="U53" s="121" t="str">
        <f t="shared" si="71"/>
        <v/>
      </c>
      <c r="V53" s="121" t="str">
        <f t="shared" si="7"/>
        <v>C9</v>
      </c>
      <c r="W53" s="122">
        <f t="shared" ca="1" si="70"/>
        <v>3</v>
      </c>
      <c r="X53" s="123" t="str">
        <f t="shared" si="70"/>
        <v/>
      </c>
      <c r="Y53" s="123" t="str">
        <f t="shared" si="70"/>
        <v/>
      </c>
      <c r="Z53" s="121">
        <v>0</v>
      </c>
      <c r="AA53" s="91" t="str">
        <f t="shared" si="65"/>
        <v>J4</v>
      </c>
      <c r="AB53" s="91">
        <v>52</v>
      </c>
      <c r="AC53" s="95">
        <f t="shared" ca="1" si="8"/>
        <v>100000</v>
      </c>
      <c r="AD53" s="95" t="s">
        <v>928</v>
      </c>
      <c r="AE53" s="95" t="str">
        <f t="shared" ca="1" si="12"/>
        <v/>
      </c>
      <c r="AF53" s="95">
        <f t="shared" ca="1" si="9"/>
        <v>100000</v>
      </c>
      <c r="AG53" s="95" t="str">
        <f t="shared" ca="1" si="10"/>
        <v xml:space="preserve"> </v>
      </c>
      <c r="AH53" s="95" t="e">
        <f t="shared" ca="1" si="11"/>
        <v>#N/A</v>
      </c>
      <c r="AI53" s="53">
        <v>5</v>
      </c>
      <c r="AJ53" s="53" t="s">
        <v>1122</v>
      </c>
      <c r="AY53" s="55" t="s">
        <v>802</v>
      </c>
      <c r="AZ53" s="219">
        <v>44391</v>
      </c>
    </row>
    <row r="54" spans="1:52" x14ac:dyDescent="0.2">
      <c r="A54" s="45" t="s">
        <v>14</v>
      </c>
      <c r="B54" s="89" t="s">
        <v>62</v>
      </c>
      <c r="C54" s="90">
        <v>54</v>
      </c>
      <c r="D54" s="91" t="str">
        <f t="shared" si="66"/>
        <v>C4</v>
      </c>
      <c r="E54" s="91" t="str">
        <f t="shared" si="62"/>
        <v/>
      </c>
      <c r="F54" s="91" t="str">
        <f t="shared" si="63"/>
        <v/>
      </c>
      <c r="G54" s="91">
        <f>IF($AL$2=0,G22,21)</f>
        <v>21</v>
      </c>
      <c r="H54" s="91">
        <v>8</v>
      </c>
      <c r="I54" s="91">
        <v>4</v>
      </c>
      <c r="J54" s="121" t="str">
        <f t="shared" si="6"/>
        <v>C4</v>
      </c>
      <c r="K54" s="122">
        <f t="shared" ref="K54:U54" ca="1" si="72">IF(K6="","",K$50-1+K6)</f>
        <v>6</v>
      </c>
      <c r="L54" s="121">
        <f t="shared" ca="1" si="72"/>
        <v>5</v>
      </c>
      <c r="M54" s="121">
        <f t="shared" ca="1" si="72"/>
        <v>5</v>
      </c>
      <c r="N54" s="121">
        <f t="shared" ca="1" si="72"/>
        <v>5</v>
      </c>
      <c r="O54" s="121">
        <f t="shared" ca="1" si="72"/>
        <v>5</v>
      </c>
      <c r="P54" s="121">
        <f t="shared" ca="1" si="72"/>
        <v>5</v>
      </c>
      <c r="Q54" s="121">
        <f t="shared" ca="1" si="72"/>
        <v>5</v>
      </c>
      <c r="R54" s="121">
        <f t="shared" ca="1" si="72"/>
        <v>5</v>
      </c>
      <c r="S54" s="121">
        <f t="shared" ca="1" si="72"/>
        <v>4</v>
      </c>
      <c r="T54" s="121">
        <f t="shared" ca="1" si="72"/>
        <v>3</v>
      </c>
      <c r="U54" s="121">
        <f t="shared" ca="1" si="72"/>
        <v>3</v>
      </c>
      <c r="V54" s="121" t="str">
        <f t="shared" si="7"/>
        <v>C4</v>
      </c>
      <c r="W54" s="122">
        <f t="shared" ca="1" si="70"/>
        <v>4</v>
      </c>
      <c r="X54" s="123">
        <f t="shared" ca="1" si="70"/>
        <v>3</v>
      </c>
      <c r="Y54" s="123">
        <f t="shared" ca="1" si="70"/>
        <v>3</v>
      </c>
      <c r="Z54" s="121">
        <v>0</v>
      </c>
      <c r="AA54" s="91" t="str">
        <f t="shared" si="65"/>
        <v>J5</v>
      </c>
      <c r="AB54" s="91">
        <v>53</v>
      </c>
      <c r="AC54" s="95">
        <f t="shared" ca="1" si="8"/>
        <v>100000</v>
      </c>
      <c r="AD54" s="95" t="s">
        <v>929</v>
      </c>
      <c r="AE54" s="95" t="str">
        <f t="shared" ca="1" si="12"/>
        <v/>
      </c>
      <c r="AF54" s="95">
        <f t="shared" ca="1" si="9"/>
        <v>100000</v>
      </c>
      <c r="AG54" s="95" t="str">
        <f t="shared" ca="1" si="10"/>
        <v xml:space="preserve"> </v>
      </c>
      <c r="AH54" s="95" t="e">
        <f t="shared" ca="1" si="11"/>
        <v>#N/A</v>
      </c>
      <c r="AI54" s="53">
        <v>6</v>
      </c>
      <c r="AJ54" s="53" t="s">
        <v>1123</v>
      </c>
      <c r="AY54" s="55" t="s">
        <v>803</v>
      </c>
      <c r="AZ54" s="219">
        <v>44398</v>
      </c>
    </row>
    <row r="55" spans="1:52" x14ac:dyDescent="0.2">
      <c r="A55" s="45" t="s">
        <v>124</v>
      </c>
      <c r="B55" s="89" t="s">
        <v>311</v>
      </c>
      <c r="C55" s="90">
        <v>55</v>
      </c>
      <c r="D55" s="91" t="str">
        <f t="shared" si="66"/>
        <v>C13</v>
      </c>
      <c r="E55" s="91" t="str">
        <f t="shared" si="62"/>
        <v/>
      </c>
      <c r="F55" s="91" t="str">
        <f t="shared" si="63"/>
        <v/>
      </c>
      <c r="G55" s="91">
        <f t="shared" ref="G55:G57" si="73">IF($AL$2=0,G23,21)</f>
        <v>21</v>
      </c>
      <c r="H55" s="91">
        <v>8</v>
      </c>
      <c r="I55" s="91">
        <v>13</v>
      </c>
      <c r="J55" s="121" t="str">
        <f t="shared" si="6"/>
        <v>C13</v>
      </c>
      <c r="K55" s="122">
        <f t="shared" ref="K55:U55" ca="1" si="74">IF(K7="","",K$50-1+K7)</f>
        <v>7</v>
      </c>
      <c r="L55" s="121">
        <f t="shared" ca="1" si="74"/>
        <v>6</v>
      </c>
      <c r="M55" s="121">
        <f t="shared" ca="1" si="74"/>
        <v>6</v>
      </c>
      <c r="N55" s="121">
        <f t="shared" ca="1" si="74"/>
        <v>6</v>
      </c>
      <c r="O55" s="121" t="str">
        <f t="shared" si="74"/>
        <v/>
      </c>
      <c r="P55" s="121" t="str">
        <f t="shared" si="74"/>
        <v/>
      </c>
      <c r="Q55" s="121" t="str">
        <f t="shared" si="74"/>
        <v/>
      </c>
      <c r="R55" s="121" t="str">
        <f t="shared" si="74"/>
        <v/>
      </c>
      <c r="S55" s="121" t="str">
        <f t="shared" si="74"/>
        <v/>
      </c>
      <c r="T55" s="121" t="str">
        <f t="shared" si="74"/>
        <v/>
      </c>
      <c r="U55" s="121" t="str">
        <f t="shared" si="74"/>
        <v/>
      </c>
      <c r="V55" s="121" t="str">
        <f t="shared" si="7"/>
        <v>C13</v>
      </c>
      <c r="W55" s="122">
        <f t="shared" ca="1" si="70"/>
        <v>4</v>
      </c>
      <c r="X55" s="123">
        <f t="shared" ca="1" si="70"/>
        <v>3</v>
      </c>
      <c r="Y55" s="123">
        <f t="shared" ca="1" si="70"/>
        <v>3</v>
      </c>
      <c r="Z55" s="121">
        <v>0</v>
      </c>
      <c r="AA55" s="91" t="str">
        <f t="shared" si="65"/>
        <v>J6</v>
      </c>
      <c r="AB55" s="91">
        <v>54</v>
      </c>
      <c r="AC55" s="95">
        <f t="shared" ca="1" si="8"/>
        <v>100000</v>
      </c>
      <c r="AD55" s="95" t="s">
        <v>930</v>
      </c>
      <c r="AE55" s="95" t="str">
        <f t="shared" ca="1" si="12"/>
        <v/>
      </c>
      <c r="AF55" s="95">
        <f t="shared" ca="1" si="9"/>
        <v>100000</v>
      </c>
      <c r="AG55" s="95" t="str">
        <f t="shared" ca="1" si="10"/>
        <v xml:space="preserve"> </v>
      </c>
      <c r="AH55" s="95" t="e">
        <f t="shared" ca="1" si="11"/>
        <v>#N/A</v>
      </c>
      <c r="AI55" s="53">
        <v>7</v>
      </c>
      <c r="AJ55" s="53" t="s">
        <v>1118</v>
      </c>
      <c r="AY55" s="55" t="s">
        <v>804</v>
      </c>
      <c r="AZ55" s="219">
        <v>44405</v>
      </c>
    </row>
    <row r="56" spans="1:52" x14ac:dyDescent="0.2">
      <c r="A56" s="45" t="s">
        <v>133</v>
      </c>
      <c r="B56" s="89" t="s">
        <v>319</v>
      </c>
      <c r="C56" s="90">
        <v>56</v>
      </c>
      <c r="D56" s="91" t="str">
        <f t="shared" si="66"/>
        <v>C5</v>
      </c>
      <c r="E56" s="91" t="str">
        <f t="shared" si="62"/>
        <v/>
      </c>
      <c r="F56" s="91" t="str">
        <f t="shared" si="63"/>
        <v/>
      </c>
      <c r="G56" s="91">
        <f t="shared" si="73"/>
        <v>21</v>
      </c>
      <c r="H56" s="91">
        <v>8</v>
      </c>
      <c r="I56" s="91">
        <v>5</v>
      </c>
      <c r="J56" s="121" t="str">
        <f t="shared" si="6"/>
        <v>C5</v>
      </c>
      <c r="K56" s="122">
        <f t="shared" ref="K56:U56" ca="1" si="75">IF(K8="","",K$50-1+K8)</f>
        <v>8</v>
      </c>
      <c r="L56" s="121">
        <f t="shared" ca="1" si="75"/>
        <v>7</v>
      </c>
      <c r="M56" s="121">
        <f t="shared" ca="1" si="75"/>
        <v>7</v>
      </c>
      <c r="N56" s="121">
        <f t="shared" ca="1" si="75"/>
        <v>7</v>
      </c>
      <c r="O56" s="121">
        <f t="shared" ca="1" si="75"/>
        <v>6</v>
      </c>
      <c r="P56" s="121">
        <f t="shared" ca="1" si="75"/>
        <v>6</v>
      </c>
      <c r="Q56" s="121">
        <f t="shared" ca="1" si="75"/>
        <v>6</v>
      </c>
      <c r="R56" s="121">
        <f t="shared" ca="1" si="75"/>
        <v>6</v>
      </c>
      <c r="S56" s="121">
        <f t="shared" ca="1" si="75"/>
        <v>5</v>
      </c>
      <c r="T56" s="121">
        <f t="shared" ca="1" si="75"/>
        <v>4</v>
      </c>
      <c r="U56" s="121">
        <f t="shared" ca="1" si="75"/>
        <v>4</v>
      </c>
      <c r="V56" s="121" t="str">
        <f t="shared" si="7"/>
        <v>C5</v>
      </c>
      <c r="W56" s="122">
        <f t="shared" ca="1" si="70"/>
        <v>5</v>
      </c>
      <c r="X56" s="123">
        <f t="shared" ca="1" si="70"/>
        <v>4</v>
      </c>
      <c r="Y56" s="123">
        <f t="shared" ca="1" si="70"/>
        <v>4</v>
      </c>
      <c r="Z56" s="121">
        <v>0</v>
      </c>
      <c r="AA56" s="91" t="str">
        <f t="shared" si="65"/>
        <v>J7</v>
      </c>
      <c r="AB56" s="91">
        <v>55</v>
      </c>
      <c r="AC56" s="95">
        <f t="shared" ca="1" si="8"/>
        <v>100000</v>
      </c>
      <c r="AD56" s="95" t="s">
        <v>931</v>
      </c>
      <c r="AE56" s="95" t="str">
        <f t="shared" ca="1" si="12"/>
        <v/>
      </c>
      <c r="AF56" s="95">
        <f t="shared" ca="1" si="9"/>
        <v>100000</v>
      </c>
      <c r="AG56" s="95" t="str">
        <f t="shared" ca="1" si="10"/>
        <v xml:space="preserve"> </v>
      </c>
      <c r="AH56" s="95" t="e">
        <f t="shared" ca="1" si="11"/>
        <v>#N/A</v>
      </c>
      <c r="AI56" s="53">
        <v>8</v>
      </c>
      <c r="AJ56" s="53" t="s">
        <v>1124</v>
      </c>
      <c r="AY56" s="55" t="s">
        <v>805</v>
      </c>
      <c r="AZ56" s="219">
        <v>44412</v>
      </c>
    </row>
    <row r="57" spans="1:52" x14ac:dyDescent="0.2">
      <c r="A57" s="45" t="s">
        <v>134</v>
      </c>
      <c r="B57" s="89" t="s">
        <v>320</v>
      </c>
      <c r="C57" s="90">
        <v>57</v>
      </c>
      <c r="D57" s="91" t="str">
        <f t="shared" si="66"/>
        <v>C12</v>
      </c>
      <c r="E57" s="91" t="str">
        <f t="shared" si="62"/>
        <v/>
      </c>
      <c r="F57" s="91" t="str">
        <f t="shared" si="63"/>
        <v/>
      </c>
      <c r="G57" s="91">
        <f t="shared" si="73"/>
        <v>21</v>
      </c>
      <c r="H57" s="91">
        <v>8</v>
      </c>
      <c r="I57" s="91">
        <v>12</v>
      </c>
      <c r="J57" s="121" t="str">
        <f t="shared" si="6"/>
        <v>C12</v>
      </c>
      <c r="K57" s="122">
        <f t="shared" ref="K57:U57" ca="1" si="76">IF(K9="","",K$50-1+K9)</f>
        <v>9</v>
      </c>
      <c r="L57" s="121">
        <f t="shared" ca="1" si="76"/>
        <v>8</v>
      </c>
      <c r="M57" s="121">
        <f t="shared" ca="1" si="76"/>
        <v>8</v>
      </c>
      <c r="N57" s="121">
        <f t="shared" ca="1" si="76"/>
        <v>8</v>
      </c>
      <c r="O57" s="121">
        <f t="shared" ca="1" si="76"/>
        <v>7</v>
      </c>
      <c r="P57" s="121" t="str">
        <f t="shared" si="76"/>
        <v/>
      </c>
      <c r="Q57" s="121" t="str">
        <f t="shared" si="76"/>
        <v/>
      </c>
      <c r="R57" s="121" t="str">
        <f t="shared" si="76"/>
        <v/>
      </c>
      <c r="S57" s="121" t="str">
        <f t="shared" si="76"/>
        <v/>
      </c>
      <c r="T57" s="121" t="str">
        <f t="shared" si="76"/>
        <v/>
      </c>
      <c r="U57" s="121" t="str">
        <f t="shared" si="76"/>
        <v/>
      </c>
      <c r="V57" s="121" t="str">
        <f t="shared" si="7"/>
        <v>C12</v>
      </c>
      <c r="W57" s="122">
        <f t="shared" ca="1" si="70"/>
        <v>5</v>
      </c>
      <c r="X57" s="123">
        <f t="shared" ca="1" si="70"/>
        <v>4</v>
      </c>
      <c r="Y57" s="123">
        <f t="shared" ca="1" si="70"/>
        <v>4</v>
      </c>
      <c r="Z57" s="121">
        <v>0</v>
      </c>
      <c r="AA57" s="91" t="str">
        <f t="shared" si="65"/>
        <v>J8</v>
      </c>
      <c r="AB57" s="91">
        <v>56</v>
      </c>
      <c r="AC57" s="95">
        <f t="shared" ca="1" si="8"/>
        <v>100000</v>
      </c>
      <c r="AD57" s="95" t="s">
        <v>932</v>
      </c>
      <c r="AE57" s="95" t="str">
        <f t="shared" ca="1" si="12"/>
        <v/>
      </c>
      <c r="AF57" s="95">
        <f t="shared" ca="1" si="9"/>
        <v>100000</v>
      </c>
      <c r="AG57" s="95" t="str">
        <f t="shared" ca="1" si="10"/>
        <v xml:space="preserve"> </v>
      </c>
      <c r="AH57" s="95" t="e">
        <f t="shared" ca="1" si="11"/>
        <v>#N/A</v>
      </c>
      <c r="AI57" s="53">
        <v>9</v>
      </c>
      <c r="AJ57" s="53" t="s">
        <v>1125</v>
      </c>
      <c r="AY57" s="55" t="s">
        <v>806</v>
      </c>
      <c r="AZ57" s="219">
        <v>44419</v>
      </c>
    </row>
    <row r="58" spans="1:52" x14ac:dyDescent="0.2">
      <c r="A58" s="45" t="s">
        <v>135</v>
      </c>
      <c r="B58" s="89" t="s">
        <v>321</v>
      </c>
      <c r="C58" s="90">
        <v>58</v>
      </c>
      <c r="D58" s="91" t="str">
        <f t="shared" si="66"/>
        <v>C2</v>
      </c>
      <c r="E58" s="91" t="str">
        <f t="shared" si="62"/>
        <v/>
      </c>
      <c r="F58" s="91" t="str">
        <f t="shared" si="63"/>
        <v/>
      </c>
      <c r="G58" s="91">
        <f>IF($AL$2=0,G26,23)</f>
        <v>23</v>
      </c>
      <c r="H58" s="91">
        <v>9</v>
      </c>
      <c r="I58" s="91">
        <v>2</v>
      </c>
      <c r="J58" s="121" t="str">
        <f t="shared" si="6"/>
        <v>C2</v>
      </c>
      <c r="K58" s="122">
        <f t="shared" ref="K58:U58" ca="1" si="77">IF(K10="","",K$50-1+K10)</f>
        <v>10</v>
      </c>
      <c r="L58" s="121">
        <f t="shared" ca="1" si="77"/>
        <v>9</v>
      </c>
      <c r="M58" s="121">
        <f t="shared" ca="1" si="77"/>
        <v>9</v>
      </c>
      <c r="N58" s="121">
        <f t="shared" ca="1" si="77"/>
        <v>9</v>
      </c>
      <c r="O58" s="121">
        <f t="shared" ca="1" si="77"/>
        <v>8</v>
      </c>
      <c r="P58" s="121">
        <f t="shared" ca="1" si="77"/>
        <v>7</v>
      </c>
      <c r="Q58" s="121">
        <f t="shared" ca="1" si="77"/>
        <v>7</v>
      </c>
      <c r="R58" s="121">
        <f t="shared" ca="1" si="77"/>
        <v>7</v>
      </c>
      <c r="S58" s="121">
        <f t="shared" ca="1" si="77"/>
        <v>6</v>
      </c>
      <c r="T58" s="121">
        <f t="shared" ca="1" si="77"/>
        <v>5</v>
      </c>
      <c r="U58" s="121">
        <f t="shared" ca="1" si="77"/>
        <v>5</v>
      </c>
      <c r="V58" s="121" t="str">
        <f t="shared" si="7"/>
        <v>C2</v>
      </c>
      <c r="W58" s="122">
        <f t="shared" ca="1" si="70"/>
        <v>6</v>
      </c>
      <c r="X58" s="123">
        <f t="shared" ca="1" si="70"/>
        <v>5</v>
      </c>
      <c r="Y58" s="123">
        <f t="shared" ca="1" si="70"/>
        <v>5</v>
      </c>
      <c r="Z58" s="121">
        <v>0</v>
      </c>
      <c r="AA58" s="91" t="str">
        <f t="shared" si="65"/>
        <v>J9</v>
      </c>
      <c r="AB58" s="91">
        <v>57</v>
      </c>
      <c r="AC58" s="95">
        <f t="shared" ca="1" si="8"/>
        <v>100000</v>
      </c>
      <c r="AD58" s="95" t="s">
        <v>933</v>
      </c>
      <c r="AE58" s="95" t="str">
        <f t="shared" ca="1" si="12"/>
        <v/>
      </c>
      <c r="AF58" s="95">
        <f t="shared" ca="1" si="9"/>
        <v>100000</v>
      </c>
      <c r="AG58" s="95" t="str">
        <f t="shared" ca="1" si="10"/>
        <v xml:space="preserve"> </v>
      </c>
      <c r="AH58" s="95" t="e">
        <f t="shared" ca="1" si="11"/>
        <v>#N/A</v>
      </c>
      <c r="AI58" s="53">
        <v>10</v>
      </c>
      <c r="AJ58" s="53" t="s">
        <v>1126</v>
      </c>
      <c r="AY58" s="55" t="s">
        <v>807</v>
      </c>
      <c r="AZ58" s="219">
        <v>44426</v>
      </c>
    </row>
    <row r="59" spans="1:52" x14ac:dyDescent="0.2">
      <c r="A59" s="45" t="s">
        <v>136</v>
      </c>
      <c r="B59" s="89" t="s">
        <v>322</v>
      </c>
      <c r="C59" s="90">
        <v>59</v>
      </c>
      <c r="D59" s="91" t="str">
        <f t="shared" si="66"/>
        <v>C15</v>
      </c>
      <c r="E59" s="91" t="str">
        <f t="shared" si="62"/>
        <v/>
      </c>
      <c r="F59" s="91" t="str">
        <f t="shared" si="63"/>
        <v/>
      </c>
      <c r="G59" s="91">
        <f t="shared" ref="G59:G61" si="78">IF($AL$2=0,G27,23)</f>
        <v>23</v>
      </c>
      <c r="H59" s="91">
        <v>9</v>
      </c>
      <c r="I59" s="91">
        <v>15</v>
      </c>
      <c r="J59" s="121" t="str">
        <f t="shared" si="6"/>
        <v>C15</v>
      </c>
      <c r="K59" s="122">
        <f t="shared" ref="K59:U59" ca="1" si="79">IF(K11="","",K$50-1+K11)</f>
        <v>11</v>
      </c>
      <c r="L59" s="121">
        <f t="shared" ca="1" si="79"/>
        <v>10</v>
      </c>
      <c r="M59" s="121" t="str">
        <f t="shared" si="79"/>
        <v/>
      </c>
      <c r="N59" s="121" t="str">
        <f t="shared" si="79"/>
        <v/>
      </c>
      <c r="O59" s="121" t="str">
        <f t="shared" si="79"/>
        <v/>
      </c>
      <c r="P59" s="121" t="str">
        <f t="shared" si="79"/>
        <v/>
      </c>
      <c r="Q59" s="121" t="str">
        <f t="shared" si="79"/>
        <v/>
      </c>
      <c r="R59" s="121" t="str">
        <f t="shared" si="79"/>
        <v/>
      </c>
      <c r="S59" s="121" t="str">
        <f t="shared" si="79"/>
        <v/>
      </c>
      <c r="T59" s="121" t="str">
        <f t="shared" si="79"/>
        <v/>
      </c>
      <c r="U59" s="121" t="str">
        <f t="shared" si="79"/>
        <v/>
      </c>
      <c r="V59" s="121" t="str">
        <f t="shared" si="7"/>
        <v>C15</v>
      </c>
      <c r="W59" s="122">
        <f t="shared" ca="1" si="70"/>
        <v>6</v>
      </c>
      <c r="X59" s="123">
        <f t="shared" ca="1" si="70"/>
        <v>5</v>
      </c>
      <c r="Y59" s="123">
        <f t="shared" ca="1" si="70"/>
        <v>5</v>
      </c>
      <c r="Z59" s="121">
        <v>0</v>
      </c>
      <c r="AA59" s="91" t="str">
        <f t="shared" si="65"/>
        <v>J10</v>
      </c>
      <c r="AB59" s="91">
        <v>58</v>
      </c>
      <c r="AC59" s="95">
        <f t="shared" ca="1" si="8"/>
        <v>100000</v>
      </c>
      <c r="AD59" s="95" t="s">
        <v>934</v>
      </c>
      <c r="AE59" s="95" t="str">
        <f t="shared" ca="1" si="12"/>
        <v/>
      </c>
      <c r="AF59" s="95">
        <f t="shared" ca="1" si="9"/>
        <v>100000</v>
      </c>
      <c r="AG59" s="95" t="str">
        <f t="shared" ca="1" si="10"/>
        <v xml:space="preserve"> </v>
      </c>
      <c r="AH59" s="95" t="e">
        <f t="shared" ca="1" si="11"/>
        <v>#N/A</v>
      </c>
      <c r="AI59" s="53">
        <v>11</v>
      </c>
      <c r="AJ59" s="53" t="s">
        <v>1127</v>
      </c>
      <c r="AY59" s="55" t="s">
        <v>808</v>
      </c>
      <c r="AZ59" s="219">
        <v>44433</v>
      </c>
    </row>
    <row r="60" spans="1:52" x14ac:dyDescent="0.2">
      <c r="A60" s="45" t="s">
        <v>251</v>
      </c>
      <c r="B60" s="89" t="s">
        <v>439</v>
      </c>
      <c r="C60" s="90">
        <v>60</v>
      </c>
      <c r="D60" s="91" t="str">
        <f t="shared" si="66"/>
        <v>C7</v>
      </c>
      <c r="E60" s="91" t="str">
        <f t="shared" si="62"/>
        <v/>
      </c>
      <c r="F60" s="91" t="str">
        <f t="shared" si="63"/>
        <v/>
      </c>
      <c r="G60" s="91">
        <f t="shared" si="78"/>
        <v>23</v>
      </c>
      <c r="H60" s="91">
        <v>9</v>
      </c>
      <c r="I60" s="91">
        <v>7</v>
      </c>
      <c r="J60" s="121" t="str">
        <f t="shared" si="6"/>
        <v>C7</v>
      </c>
      <c r="K60" s="122">
        <f t="shared" ref="K60:U60" ca="1" si="80">IF(K12="","",K$50-1+K12)</f>
        <v>12</v>
      </c>
      <c r="L60" s="121">
        <f t="shared" ca="1" si="80"/>
        <v>11</v>
      </c>
      <c r="M60" s="121">
        <f t="shared" ca="1" si="80"/>
        <v>10</v>
      </c>
      <c r="N60" s="121">
        <f t="shared" ca="1" si="80"/>
        <v>10</v>
      </c>
      <c r="O60" s="121">
        <f t="shared" ca="1" si="80"/>
        <v>9</v>
      </c>
      <c r="P60" s="121">
        <f t="shared" ca="1" si="80"/>
        <v>8</v>
      </c>
      <c r="Q60" s="121">
        <f t="shared" ca="1" si="80"/>
        <v>8</v>
      </c>
      <c r="R60" s="121">
        <f t="shared" ca="1" si="80"/>
        <v>8</v>
      </c>
      <c r="S60" s="121">
        <f t="shared" ca="1" si="80"/>
        <v>7</v>
      </c>
      <c r="T60" s="121">
        <f t="shared" ca="1" si="80"/>
        <v>6</v>
      </c>
      <c r="U60" s="121" t="str">
        <f t="shared" si="80"/>
        <v/>
      </c>
      <c r="V60" s="121" t="str">
        <f t="shared" si="7"/>
        <v>C7</v>
      </c>
      <c r="W60" s="122">
        <f t="shared" ca="1" si="70"/>
        <v>7</v>
      </c>
      <c r="X60" s="123">
        <f t="shared" ca="1" si="70"/>
        <v>6</v>
      </c>
      <c r="Y60" s="123" t="str">
        <f t="shared" si="70"/>
        <v/>
      </c>
      <c r="Z60" s="121">
        <v>0</v>
      </c>
      <c r="AA60" s="91" t="str">
        <f t="shared" si="65"/>
        <v>J11</v>
      </c>
      <c r="AB60" s="91">
        <v>59</v>
      </c>
      <c r="AC60" s="95">
        <f t="shared" ca="1" si="8"/>
        <v>100000</v>
      </c>
      <c r="AD60" s="95" t="s">
        <v>935</v>
      </c>
      <c r="AE60" s="95" t="str">
        <f t="shared" ca="1" si="12"/>
        <v/>
      </c>
      <c r="AF60" s="95">
        <f t="shared" ca="1" si="9"/>
        <v>100000</v>
      </c>
      <c r="AG60" s="95" t="str">
        <f t="shared" ca="1" si="10"/>
        <v xml:space="preserve"> </v>
      </c>
      <c r="AH60" s="95" t="e">
        <f t="shared" ca="1" si="11"/>
        <v>#N/A</v>
      </c>
      <c r="AI60" s="53">
        <v>12</v>
      </c>
      <c r="AJ60" s="53" t="s">
        <v>1128</v>
      </c>
      <c r="AY60" s="55" t="s">
        <v>809</v>
      </c>
      <c r="AZ60" s="219">
        <v>44440</v>
      </c>
    </row>
    <row r="61" spans="1:52" x14ac:dyDescent="0.2">
      <c r="A61" s="45" t="s">
        <v>137</v>
      </c>
      <c r="B61" s="89" t="s">
        <v>323</v>
      </c>
      <c r="C61" s="90">
        <v>61</v>
      </c>
      <c r="D61" s="91" t="str">
        <f t="shared" si="66"/>
        <v>C10</v>
      </c>
      <c r="E61" s="91" t="str">
        <f t="shared" si="62"/>
        <v/>
      </c>
      <c r="F61" s="91" t="str">
        <f t="shared" si="63"/>
        <v/>
      </c>
      <c r="G61" s="91">
        <f t="shared" si="78"/>
        <v>23</v>
      </c>
      <c r="H61" s="91">
        <v>9</v>
      </c>
      <c r="I61" s="91">
        <v>10</v>
      </c>
      <c r="J61" s="121" t="str">
        <f t="shared" si="6"/>
        <v>C10</v>
      </c>
      <c r="K61" s="122">
        <f t="shared" ref="K61:U61" ca="1" si="81">IF(K13="","",K$50-1+K13)</f>
        <v>13</v>
      </c>
      <c r="L61" s="121">
        <f t="shared" ca="1" si="81"/>
        <v>12</v>
      </c>
      <c r="M61" s="121">
        <f t="shared" ca="1" si="81"/>
        <v>11</v>
      </c>
      <c r="N61" s="121">
        <f t="shared" ca="1" si="81"/>
        <v>11</v>
      </c>
      <c r="O61" s="121">
        <f t="shared" ca="1" si="81"/>
        <v>10</v>
      </c>
      <c r="P61" s="121">
        <f t="shared" ca="1" si="81"/>
        <v>9</v>
      </c>
      <c r="Q61" s="121">
        <f t="shared" ca="1" si="81"/>
        <v>9</v>
      </c>
      <c r="R61" s="121" t="str">
        <f t="shared" si="81"/>
        <v/>
      </c>
      <c r="S61" s="121" t="str">
        <f t="shared" si="81"/>
        <v/>
      </c>
      <c r="T61" s="121" t="str">
        <f t="shared" si="81"/>
        <v/>
      </c>
      <c r="U61" s="121" t="str">
        <f t="shared" si="81"/>
        <v/>
      </c>
      <c r="V61" s="121" t="str">
        <f t="shared" si="7"/>
        <v>C10</v>
      </c>
      <c r="W61" s="122">
        <f t="shared" ca="1" si="70"/>
        <v>7</v>
      </c>
      <c r="X61" s="123">
        <f t="shared" ca="1" si="70"/>
        <v>6</v>
      </c>
      <c r="Y61" s="123" t="str">
        <f t="shared" si="70"/>
        <v/>
      </c>
      <c r="Z61" s="121">
        <v>0</v>
      </c>
      <c r="AA61" s="91" t="str">
        <f t="shared" si="65"/>
        <v>J12</v>
      </c>
      <c r="AB61" s="91">
        <v>60</v>
      </c>
      <c r="AC61" s="95">
        <f t="shared" ca="1" si="8"/>
        <v>100000</v>
      </c>
      <c r="AD61" s="95" t="s">
        <v>936</v>
      </c>
      <c r="AE61" s="95" t="str">
        <f t="shared" ca="1" si="12"/>
        <v/>
      </c>
      <c r="AF61" s="95">
        <f t="shared" ca="1" si="9"/>
        <v>100000</v>
      </c>
      <c r="AG61" s="95" t="str">
        <f t="shared" ca="1" si="10"/>
        <v xml:space="preserve"> </v>
      </c>
      <c r="AH61" s="95" t="e">
        <f t="shared" ca="1" si="11"/>
        <v>#N/A</v>
      </c>
      <c r="AI61" s="53">
        <v>13</v>
      </c>
      <c r="AJ61" s="53" t="s">
        <v>1129</v>
      </c>
      <c r="AY61" s="55" t="s">
        <v>810</v>
      </c>
      <c r="AZ61" s="219">
        <v>44447</v>
      </c>
    </row>
    <row r="62" spans="1:52" x14ac:dyDescent="0.2">
      <c r="A62" s="45" t="s">
        <v>138</v>
      </c>
      <c r="B62" s="89" t="s">
        <v>324</v>
      </c>
      <c r="C62" s="90">
        <v>62</v>
      </c>
      <c r="D62" s="91" t="str">
        <f t="shared" si="66"/>
        <v>C3</v>
      </c>
      <c r="E62" s="91" t="str">
        <f t="shared" si="62"/>
        <v/>
      </c>
      <c r="F62" s="91" t="str">
        <f t="shared" si="63"/>
        <v/>
      </c>
      <c r="G62" s="91">
        <f>IF($AL$2=0,G30,24)</f>
        <v>24</v>
      </c>
      <c r="H62" s="91">
        <v>9</v>
      </c>
      <c r="I62" s="91">
        <v>3</v>
      </c>
      <c r="J62" s="121" t="str">
        <f t="shared" si="6"/>
        <v>C3</v>
      </c>
      <c r="K62" s="122">
        <f t="shared" ref="K62:U62" ca="1" si="82">IF(K14="","",K$50-1+K14)</f>
        <v>14</v>
      </c>
      <c r="L62" s="121">
        <f t="shared" ca="1" si="82"/>
        <v>13</v>
      </c>
      <c r="M62" s="121">
        <f t="shared" ca="1" si="82"/>
        <v>12</v>
      </c>
      <c r="N62" s="121">
        <f t="shared" ca="1" si="82"/>
        <v>12</v>
      </c>
      <c r="O62" s="121">
        <f t="shared" ca="1" si="82"/>
        <v>11</v>
      </c>
      <c r="P62" s="121">
        <f t="shared" ca="1" si="82"/>
        <v>10</v>
      </c>
      <c r="Q62" s="121">
        <f t="shared" ca="1" si="82"/>
        <v>10</v>
      </c>
      <c r="R62" s="121">
        <f t="shared" ca="1" si="82"/>
        <v>9</v>
      </c>
      <c r="S62" s="121">
        <f t="shared" ca="1" si="82"/>
        <v>8</v>
      </c>
      <c r="T62" s="121">
        <f t="shared" ca="1" si="82"/>
        <v>7</v>
      </c>
      <c r="U62" s="121">
        <f t="shared" ca="1" si="82"/>
        <v>6</v>
      </c>
      <c r="V62" s="121" t="str">
        <f t="shared" si="7"/>
        <v>C3</v>
      </c>
      <c r="W62" s="122">
        <f t="shared" ca="1" si="70"/>
        <v>8</v>
      </c>
      <c r="X62" s="123">
        <f t="shared" ca="1" si="70"/>
        <v>7</v>
      </c>
      <c r="Y62" s="123">
        <f t="shared" ca="1" si="70"/>
        <v>6</v>
      </c>
      <c r="Z62" s="121">
        <v>0</v>
      </c>
      <c r="AA62" s="91" t="str">
        <f t="shared" si="65"/>
        <v>J13</v>
      </c>
      <c r="AB62" s="91">
        <v>61</v>
      </c>
      <c r="AC62" s="95">
        <f t="shared" ca="1" si="8"/>
        <v>100000</v>
      </c>
      <c r="AD62" s="95" t="s">
        <v>937</v>
      </c>
      <c r="AE62" s="95" t="str">
        <f t="shared" ca="1" si="12"/>
        <v/>
      </c>
      <c r="AF62" s="95">
        <f t="shared" ca="1" si="9"/>
        <v>100000</v>
      </c>
      <c r="AG62" s="95" t="str">
        <f t="shared" ca="1" si="10"/>
        <v xml:space="preserve"> </v>
      </c>
      <c r="AH62" s="95" t="e">
        <f t="shared" ca="1" si="11"/>
        <v>#N/A</v>
      </c>
      <c r="AI62" s="53">
        <v>14</v>
      </c>
      <c r="AJ62" s="53" t="s">
        <v>1130</v>
      </c>
      <c r="AY62" s="55" t="s">
        <v>811</v>
      </c>
      <c r="AZ62" s="219">
        <v>44454</v>
      </c>
    </row>
    <row r="63" spans="1:52" x14ac:dyDescent="0.2">
      <c r="A63" s="45" t="s">
        <v>140</v>
      </c>
      <c r="B63" s="89" t="s">
        <v>326</v>
      </c>
      <c r="C63" s="90">
        <v>63</v>
      </c>
      <c r="D63" s="91" t="str">
        <f t="shared" si="66"/>
        <v>C14</v>
      </c>
      <c r="E63" s="91" t="str">
        <f t="shared" si="62"/>
        <v/>
      </c>
      <c r="F63" s="91" t="str">
        <f t="shared" si="63"/>
        <v/>
      </c>
      <c r="G63" s="91">
        <f t="shared" ref="G63:G65" si="83">IF($AL$2=0,G31,24)</f>
        <v>24</v>
      </c>
      <c r="H63" s="91">
        <v>9</v>
      </c>
      <c r="I63" s="91">
        <v>14</v>
      </c>
      <c r="J63" s="121" t="str">
        <f t="shared" si="6"/>
        <v>C14</v>
      </c>
      <c r="K63" s="122">
        <f t="shared" ref="K63:U63" ca="1" si="84">IF(K15="","",K$50-1+K15)</f>
        <v>15</v>
      </c>
      <c r="L63" s="121">
        <f t="shared" ca="1" si="84"/>
        <v>14</v>
      </c>
      <c r="M63" s="121">
        <f t="shared" ca="1" si="84"/>
        <v>13</v>
      </c>
      <c r="N63" s="121" t="str">
        <f t="shared" si="84"/>
        <v/>
      </c>
      <c r="O63" s="121" t="str">
        <f t="shared" si="84"/>
        <v/>
      </c>
      <c r="P63" s="121" t="str">
        <f t="shared" si="84"/>
        <v/>
      </c>
      <c r="Q63" s="121" t="str">
        <f t="shared" si="84"/>
        <v/>
      </c>
      <c r="R63" s="121" t="str">
        <f t="shared" si="84"/>
        <v/>
      </c>
      <c r="S63" s="121" t="str">
        <f t="shared" si="84"/>
        <v/>
      </c>
      <c r="T63" s="121" t="str">
        <f t="shared" si="84"/>
        <v/>
      </c>
      <c r="U63" s="121" t="str">
        <f t="shared" si="84"/>
        <v/>
      </c>
      <c r="V63" s="121" t="str">
        <f t="shared" si="7"/>
        <v>C14</v>
      </c>
      <c r="W63" s="122">
        <f t="shared" ca="1" si="70"/>
        <v>8</v>
      </c>
      <c r="X63" s="123">
        <f t="shared" ca="1" si="70"/>
        <v>7</v>
      </c>
      <c r="Y63" s="123">
        <f t="shared" ca="1" si="70"/>
        <v>6</v>
      </c>
      <c r="Z63" s="121">
        <v>0</v>
      </c>
      <c r="AA63" s="91" t="str">
        <f t="shared" si="65"/>
        <v>J14</v>
      </c>
      <c r="AB63" s="91">
        <v>62</v>
      </c>
      <c r="AC63" s="95">
        <f t="shared" ca="1" si="8"/>
        <v>100000</v>
      </c>
      <c r="AD63" s="95" t="s">
        <v>938</v>
      </c>
      <c r="AE63" s="95" t="str">
        <f t="shared" ca="1" si="12"/>
        <v/>
      </c>
      <c r="AF63" s="95">
        <f t="shared" ca="1" si="9"/>
        <v>100000</v>
      </c>
      <c r="AG63" s="95" t="str">
        <f t="shared" ca="1" si="10"/>
        <v xml:space="preserve"> </v>
      </c>
      <c r="AH63" s="95" t="e">
        <f t="shared" ca="1" si="11"/>
        <v>#N/A</v>
      </c>
      <c r="AI63" s="53">
        <v>15</v>
      </c>
      <c r="AJ63" s="53" t="s">
        <v>1131</v>
      </c>
      <c r="AY63" s="55" t="s">
        <v>812</v>
      </c>
      <c r="AZ63" s="219">
        <v>44461</v>
      </c>
    </row>
    <row r="64" spans="1:52" x14ac:dyDescent="0.2">
      <c r="A64" s="45" t="s">
        <v>149</v>
      </c>
      <c r="B64" s="89" t="s">
        <v>335</v>
      </c>
      <c r="C64" s="90">
        <v>64</v>
      </c>
      <c r="D64" s="91" t="str">
        <f t="shared" si="66"/>
        <v>C6</v>
      </c>
      <c r="E64" s="91" t="str">
        <f t="shared" si="62"/>
        <v/>
      </c>
      <c r="F64" s="91" t="str">
        <f t="shared" si="63"/>
        <v/>
      </c>
      <c r="G64" s="91">
        <f t="shared" si="83"/>
        <v>24</v>
      </c>
      <c r="H64" s="91">
        <v>9</v>
      </c>
      <c r="I64" s="91">
        <v>6</v>
      </c>
      <c r="J64" s="121" t="str">
        <f t="shared" si="6"/>
        <v>C6</v>
      </c>
      <c r="K64" s="122">
        <f t="shared" ref="K64:U64" ca="1" si="85">IF(K16="","",K$50-1+K16)</f>
        <v>16</v>
      </c>
      <c r="L64" s="121">
        <f t="shared" ca="1" si="85"/>
        <v>15</v>
      </c>
      <c r="M64" s="121">
        <f t="shared" ca="1" si="85"/>
        <v>14</v>
      </c>
      <c r="N64" s="121">
        <f t="shared" ca="1" si="85"/>
        <v>13</v>
      </c>
      <c r="O64" s="121">
        <f t="shared" ca="1" si="85"/>
        <v>12</v>
      </c>
      <c r="P64" s="121">
        <f t="shared" ca="1" si="85"/>
        <v>11</v>
      </c>
      <c r="Q64" s="121">
        <f t="shared" ca="1" si="85"/>
        <v>11</v>
      </c>
      <c r="R64" s="121">
        <f t="shared" ca="1" si="85"/>
        <v>10</v>
      </c>
      <c r="S64" s="121">
        <f t="shared" ca="1" si="85"/>
        <v>9</v>
      </c>
      <c r="T64" s="121">
        <f t="shared" ca="1" si="85"/>
        <v>8</v>
      </c>
      <c r="U64" s="121">
        <f t="shared" ca="1" si="85"/>
        <v>7</v>
      </c>
      <c r="V64" s="121" t="str">
        <f t="shared" si="7"/>
        <v>C6</v>
      </c>
      <c r="W64" s="122">
        <f t="shared" ca="1" si="70"/>
        <v>9</v>
      </c>
      <c r="X64" s="123">
        <f t="shared" ca="1" si="70"/>
        <v>8</v>
      </c>
      <c r="Y64" s="123">
        <f t="shared" ca="1" si="70"/>
        <v>7</v>
      </c>
      <c r="Z64" s="121">
        <v>0</v>
      </c>
      <c r="AA64" s="91" t="str">
        <f t="shared" si="65"/>
        <v>J15</v>
      </c>
      <c r="AB64" s="91">
        <v>63</v>
      </c>
      <c r="AC64" s="95">
        <f t="shared" ca="1" si="8"/>
        <v>100000</v>
      </c>
      <c r="AD64" s="95" t="s">
        <v>939</v>
      </c>
      <c r="AE64" s="95" t="str">
        <f t="shared" ca="1" si="12"/>
        <v/>
      </c>
      <c r="AF64" s="95">
        <f t="shared" ca="1" si="9"/>
        <v>100000</v>
      </c>
      <c r="AG64" s="95" t="str">
        <f t="shared" ca="1" si="10"/>
        <v xml:space="preserve"> </v>
      </c>
      <c r="AH64" s="95" t="e">
        <f t="shared" ca="1" si="11"/>
        <v>#N/A</v>
      </c>
      <c r="AI64" s="53">
        <v>16</v>
      </c>
      <c r="AJ64" s="53" t="s">
        <v>1132</v>
      </c>
      <c r="AY64" s="55" t="s">
        <v>813</v>
      </c>
      <c r="AZ64" s="219">
        <v>44468</v>
      </c>
    </row>
    <row r="65" spans="1:52" x14ac:dyDescent="0.2">
      <c r="A65" s="45" t="s">
        <v>139</v>
      </c>
      <c r="B65" s="89" t="s">
        <v>325</v>
      </c>
      <c r="C65" s="90">
        <v>65</v>
      </c>
      <c r="D65" s="91" t="str">
        <f t="shared" si="66"/>
        <v>C11</v>
      </c>
      <c r="E65" s="91" t="str">
        <f t="shared" si="62"/>
        <v/>
      </c>
      <c r="F65" s="91" t="str">
        <f t="shared" si="63"/>
        <v/>
      </c>
      <c r="G65" s="91">
        <f t="shared" si="83"/>
        <v>24</v>
      </c>
      <c r="H65" s="91">
        <v>9</v>
      </c>
      <c r="I65" s="91">
        <v>11</v>
      </c>
      <c r="J65" s="121" t="str">
        <f t="shared" si="6"/>
        <v>C11</v>
      </c>
      <c r="K65" s="122">
        <f t="shared" ref="K65:U65" ca="1" si="86">IF(K17="","",K$50-1+K17)</f>
        <v>17</v>
      </c>
      <c r="L65" s="121">
        <f t="shared" ca="1" si="86"/>
        <v>16</v>
      </c>
      <c r="M65" s="121">
        <f t="shared" ca="1" si="86"/>
        <v>15</v>
      </c>
      <c r="N65" s="121">
        <f t="shared" ca="1" si="86"/>
        <v>14</v>
      </c>
      <c r="O65" s="121">
        <f t="shared" ca="1" si="86"/>
        <v>13</v>
      </c>
      <c r="P65" s="121">
        <f t="shared" ca="1" si="86"/>
        <v>12</v>
      </c>
      <c r="Q65" s="121" t="str">
        <f t="shared" si="86"/>
        <v/>
      </c>
      <c r="R65" s="121" t="str">
        <f t="shared" si="86"/>
        <v/>
      </c>
      <c r="S65" s="121" t="str">
        <f t="shared" si="86"/>
        <v/>
      </c>
      <c r="T65" s="121" t="str">
        <f t="shared" si="86"/>
        <v/>
      </c>
      <c r="U65" s="121" t="str">
        <f t="shared" si="86"/>
        <v/>
      </c>
      <c r="V65" s="121" t="str">
        <f t="shared" si="7"/>
        <v>C11</v>
      </c>
      <c r="W65" s="122">
        <f t="shared" ca="1" si="70"/>
        <v>9</v>
      </c>
      <c r="X65" s="123">
        <f t="shared" ca="1" si="70"/>
        <v>8</v>
      </c>
      <c r="Y65" s="123">
        <f t="shared" ca="1" si="70"/>
        <v>7</v>
      </c>
      <c r="Z65" s="121">
        <v>0</v>
      </c>
      <c r="AA65" s="91" t="str">
        <f t="shared" si="65"/>
        <v>J16</v>
      </c>
      <c r="AB65" s="91">
        <v>64</v>
      </c>
      <c r="AC65" s="95">
        <f t="shared" ca="1" si="8"/>
        <v>100000</v>
      </c>
      <c r="AD65" s="95" t="s">
        <v>940</v>
      </c>
      <c r="AE65" s="95" t="str">
        <f t="shared" ca="1" si="12"/>
        <v/>
      </c>
      <c r="AF65" s="95">
        <f t="shared" ca="1" si="9"/>
        <v>100000</v>
      </c>
      <c r="AG65" s="95" t="str">
        <f t="shared" ca="1" si="10"/>
        <v xml:space="preserve"> </v>
      </c>
      <c r="AH65" s="95" t="e">
        <f t="shared" ca="1" si="11"/>
        <v>#N/A</v>
      </c>
      <c r="AY65" s="55" t="s">
        <v>814</v>
      </c>
      <c r="AZ65" s="219">
        <v>44475</v>
      </c>
    </row>
    <row r="66" spans="1:52" x14ac:dyDescent="0.2">
      <c r="A66" s="45" t="s">
        <v>39</v>
      </c>
      <c r="B66" s="89" t="s">
        <v>63</v>
      </c>
      <c r="C66" s="90">
        <v>66</v>
      </c>
      <c r="D66" s="91" t="str">
        <f>$AJ$6&amp;I66</f>
        <v>SM1</v>
      </c>
      <c r="E66" s="91" t="str">
        <f t="shared" ref="E66:E81" si="87">IFERROR(HLOOKUP($AL$6,$J$1:$U$81,C66,FALSE),"")</f>
        <v/>
      </c>
      <c r="F66" s="91" t="str">
        <f t="shared" ref="F66:F81" si="88">IFERROR(HLOOKUP($AM$6,$V$1:$Y$97,C66,FALSE),"")</f>
        <v/>
      </c>
      <c r="G66" s="91">
        <v>26</v>
      </c>
      <c r="H66" s="91">
        <v>13</v>
      </c>
      <c r="I66" s="91">
        <v>1</v>
      </c>
      <c r="J66" s="124" t="str">
        <f t="shared" si="6"/>
        <v>SM1</v>
      </c>
      <c r="K66" s="125">
        <f t="shared" ref="K66:U66" ca="1" si="89">MAX(INDIRECT(VLOOKUP($AL$5,$AI$8:$AO$24,5,FALSE)))+2</f>
        <v>2</v>
      </c>
      <c r="L66" s="124">
        <f t="shared" ca="1" si="89"/>
        <v>2</v>
      </c>
      <c r="M66" s="124">
        <f t="shared" ca="1" si="89"/>
        <v>2</v>
      </c>
      <c r="N66" s="124">
        <f t="shared" ca="1" si="89"/>
        <v>2</v>
      </c>
      <c r="O66" s="124">
        <f t="shared" ca="1" si="89"/>
        <v>2</v>
      </c>
      <c r="P66" s="124">
        <f t="shared" ca="1" si="89"/>
        <v>2</v>
      </c>
      <c r="Q66" s="124">
        <f t="shared" ca="1" si="89"/>
        <v>2</v>
      </c>
      <c r="R66" s="124">
        <f t="shared" ca="1" si="89"/>
        <v>2</v>
      </c>
      <c r="S66" s="124">
        <f t="shared" ca="1" si="89"/>
        <v>2</v>
      </c>
      <c r="T66" s="124">
        <f t="shared" ca="1" si="89"/>
        <v>2</v>
      </c>
      <c r="U66" s="124">
        <f t="shared" ca="1" si="89"/>
        <v>2</v>
      </c>
      <c r="V66" s="124" t="str">
        <f t="shared" si="7"/>
        <v>SM1</v>
      </c>
      <c r="W66" s="125">
        <f ca="1">MAX(INDIRECT(VLOOKUP($AM$5,$AI$25:$AO$33,5,FALSE)))+2</f>
        <v>2</v>
      </c>
      <c r="X66" s="126">
        <f ca="1">MAX(INDIRECT(VLOOKUP($AM$5,$AI$25:$AO$33,5,FALSE)))+2</f>
        <v>2</v>
      </c>
      <c r="Y66" s="126">
        <f ca="1">MAX(INDIRECT(VLOOKUP($AM$5,$AI$25:$AO$33,5,FALSE)))+2</f>
        <v>2</v>
      </c>
      <c r="Z66" s="126">
        <v>0</v>
      </c>
      <c r="AA66" s="91" t="str">
        <f t="shared" ref="AA66:AA81" si="90">$AJ$5&amp;C1</f>
        <v>C1</v>
      </c>
      <c r="AB66" s="91">
        <v>65</v>
      </c>
      <c r="AC66" s="95">
        <f t="shared" ca="1" si="8"/>
        <v>100000</v>
      </c>
      <c r="AD66" s="95" t="s">
        <v>941</v>
      </c>
      <c r="AE66" s="95" t="str">
        <f t="shared" ca="1" si="12"/>
        <v/>
      </c>
      <c r="AF66" s="95">
        <f t="shared" ca="1" si="9"/>
        <v>100000</v>
      </c>
      <c r="AG66" s="95" t="str">
        <f t="shared" ca="1" si="10"/>
        <v xml:space="preserve"> </v>
      </c>
      <c r="AH66" s="95" t="e">
        <f t="shared" ca="1" si="11"/>
        <v>#N/A</v>
      </c>
      <c r="AY66" s="55" t="s">
        <v>815</v>
      </c>
      <c r="AZ66" s="219">
        <v>44482</v>
      </c>
    </row>
    <row r="67" spans="1:52" x14ac:dyDescent="0.2">
      <c r="A67" s="45" t="s">
        <v>142</v>
      </c>
      <c r="B67" s="89" t="s">
        <v>328</v>
      </c>
      <c r="C67" s="90">
        <v>67</v>
      </c>
      <c r="D67" s="91" t="str">
        <f t="shared" ref="D67:D81" si="91">$AJ$6&amp;I67</f>
        <v>SM16</v>
      </c>
      <c r="E67" s="91" t="str">
        <f t="shared" si="87"/>
        <v/>
      </c>
      <c r="F67" s="91" t="str">
        <f t="shared" si="88"/>
        <v/>
      </c>
      <c r="G67" s="91">
        <v>26</v>
      </c>
      <c r="H67" s="91">
        <v>13</v>
      </c>
      <c r="I67" s="91">
        <v>16</v>
      </c>
      <c r="J67" s="124" t="str">
        <f t="shared" ref="J67:J97" si="92">D67</f>
        <v>SM16</v>
      </c>
      <c r="K67" s="125">
        <f ca="1">IF(K3="","",K$66-1+K3)</f>
        <v>3</v>
      </c>
      <c r="L67" s="124" t="str">
        <f t="shared" ref="L67:U67" si="93">IF(L3="","",L$66-1+L3)</f>
        <v/>
      </c>
      <c r="M67" s="124" t="str">
        <f t="shared" si="93"/>
        <v/>
      </c>
      <c r="N67" s="124" t="str">
        <f t="shared" si="93"/>
        <v/>
      </c>
      <c r="O67" s="124" t="str">
        <f t="shared" si="93"/>
        <v/>
      </c>
      <c r="P67" s="124" t="str">
        <f t="shared" si="93"/>
        <v/>
      </c>
      <c r="Q67" s="124" t="str">
        <f t="shared" si="93"/>
        <v/>
      </c>
      <c r="R67" s="124" t="str">
        <f t="shared" si="93"/>
        <v/>
      </c>
      <c r="S67" s="124" t="str">
        <f t="shared" si="93"/>
        <v/>
      </c>
      <c r="T67" s="124" t="str">
        <f t="shared" si="93"/>
        <v/>
      </c>
      <c r="U67" s="124" t="str">
        <f t="shared" si="93"/>
        <v/>
      </c>
      <c r="V67" s="124" t="str">
        <f t="shared" ref="V67:V97" si="94">D67</f>
        <v>SM16</v>
      </c>
      <c r="W67" s="125">
        <f t="shared" ref="W67:Y81" ca="1" si="95">IF(W3="","",W$66-1+W3)</f>
        <v>2</v>
      </c>
      <c r="X67" s="126">
        <f t="shared" ca="1" si="95"/>
        <v>2</v>
      </c>
      <c r="Y67" s="126">
        <f t="shared" ca="1" si="95"/>
        <v>2</v>
      </c>
      <c r="Z67" s="124">
        <v>0</v>
      </c>
      <c r="AA67" s="91" t="str">
        <f t="shared" si="90"/>
        <v>C2</v>
      </c>
      <c r="AB67" s="91">
        <v>66</v>
      </c>
      <c r="AC67" s="95">
        <f t="shared" ref="AC67:AC97" ca="1" si="96">IFERROR(INDEX(AB$2:AB$113,MATCH(AE67,AA$2:AA$113,0)),100000)</f>
        <v>100000</v>
      </c>
      <c r="AD67" s="95" t="s">
        <v>942</v>
      </c>
      <c r="AE67" s="95" t="str">
        <f t="shared" ref="AE67:AE130" ca="1" si="97">INDIRECT($AP$5&amp;AD67)</f>
        <v/>
      </c>
      <c r="AF67" s="95">
        <f t="shared" ref="AF67:AF97" ca="1" si="98">SMALL(AC$2:AC$97,AB67)</f>
        <v>100000</v>
      </c>
      <c r="AG67" s="95" t="str">
        <f t="shared" ref="AG67:AG97" ca="1" si="99">IF(AF67&gt;1000," ",INDEX($AA$2:$AA$113,MATCH(AF67,$AB$2:$AB$113,0)))</f>
        <v xml:space="preserve"> </v>
      </c>
      <c r="AH67" s="95" t="e">
        <f t="shared" ref="AH67:AH97" ca="1" si="100">VLOOKUP(AG67,INDIRECT(VLOOKUP($AP$6,$AV$6:$BB$8,7,FALSE)),6,FALSE)</f>
        <v>#N/A</v>
      </c>
      <c r="AY67" s="55" t="s">
        <v>816</v>
      </c>
      <c r="AZ67" s="219">
        <v>44489</v>
      </c>
    </row>
    <row r="68" spans="1:52" x14ac:dyDescent="0.2">
      <c r="A68" s="45" t="s">
        <v>144</v>
      </c>
      <c r="B68" s="89" t="s">
        <v>330</v>
      </c>
      <c r="C68" s="90">
        <v>68</v>
      </c>
      <c r="D68" s="91" t="str">
        <f t="shared" si="91"/>
        <v>SM8</v>
      </c>
      <c r="E68" s="91" t="str">
        <f t="shared" si="87"/>
        <v/>
      </c>
      <c r="F68" s="91" t="str">
        <f t="shared" si="88"/>
        <v/>
      </c>
      <c r="G68" s="91">
        <v>26</v>
      </c>
      <c r="H68" s="91">
        <v>13</v>
      </c>
      <c r="I68" s="91">
        <v>8</v>
      </c>
      <c r="J68" s="124" t="str">
        <f t="shared" si="92"/>
        <v>SM8</v>
      </c>
      <c r="K68" s="125">
        <f t="shared" ref="K68:U68" ca="1" si="101">IF(K4="","",K$66-1+K4)</f>
        <v>4</v>
      </c>
      <c r="L68" s="124">
        <f t="shared" ca="1" si="101"/>
        <v>3</v>
      </c>
      <c r="M68" s="124">
        <f t="shared" ca="1" si="101"/>
        <v>3</v>
      </c>
      <c r="N68" s="124">
        <f t="shared" ca="1" si="101"/>
        <v>3</v>
      </c>
      <c r="O68" s="124">
        <f t="shared" ca="1" si="101"/>
        <v>3</v>
      </c>
      <c r="P68" s="124">
        <f t="shared" ca="1" si="101"/>
        <v>3</v>
      </c>
      <c r="Q68" s="124">
        <f t="shared" ca="1" si="101"/>
        <v>3</v>
      </c>
      <c r="R68" s="124">
        <f t="shared" ca="1" si="101"/>
        <v>3</v>
      </c>
      <c r="S68" s="124">
        <f t="shared" ca="1" si="101"/>
        <v>3</v>
      </c>
      <c r="T68" s="124" t="str">
        <f t="shared" si="101"/>
        <v/>
      </c>
      <c r="U68" s="124" t="str">
        <f t="shared" si="101"/>
        <v/>
      </c>
      <c r="V68" s="124" t="str">
        <f t="shared" si="94"/>
        <v>SM8</v>
      </c>
      <c r="W68" s="125">
        <f t="shared" ca="1" si="95"/>
        <v>3</v>
      </c>
      <c r="X68" s="126" t="str">
        <f t="shared" si="95"/>
        <v/>
      </c>
      <c r="Y68" s="126" t="str">
        <f t="shared" si="95"/>
        <v/>
      </c>
      <c r="Z68" s="124">
        <v>0</v>
      </c>
      <c r="AA68" s="91" t="str">
        <f t="shared" si="90"/>
        <v>C3</v>
      </c>
      <c r="AB68" s="91">
        <v>67</v>
      </c>
      <c r="AC68" s="95">
        <f t="shared" ca="1" si="96"/>
        <v>100000</v>
      </c>
      <c r="AD68" s="95" t="s">
        <v>943</v>
      </c>
      <c r="AE68" s="95" t="str">
        <f t="shared" ca="1" si="97"/>
        <v/>
      </c>
      <c r="AF68" s="95">
        <f t="shared" ca="1" si="98"/>
        <v>100000</v>
      </c>
      <c r="AG68" s="95" t="str">
        <f t="shared" ca="1" si="99"/>
        <v xml:space="preserve"> </v>
      </c>
      <c r="AH68" s="95" t="e">
        <f t="shared" ca="1" si="100"/>
        <v>#N/A</v>
      </c>
      <c r="AY68" s="55" t="s">
        <v>817</v>
      </c>
      <c r="AZ68" s="219">
        <v>44496</v>
      </c>
    </row>
    <row r="69" spans="1:52" x14ac:dyDescent="0.2">
      <c r="A69" s="45" t="s">
        <v>143</v>
      </c>
      <c r="B69" s="89" t="s">
        <v>329</v>
      </c>
      <c r="C69" s="90">
        <v>69</v>
      </c>
      <c r="D69" s="91" t="str">
        <f t="shared" si="91"/>
        <v>SM9</v>
      </c>
      <c r="E69" s="91" t="str">
        <f t="shared" si="87"/>
        <v/>
      </c>
      <c r="F69" s="91" t="str">
        <f t="shared" si="88"/>
        <v/>
      </c>
      <c r="G69" s="91">
        <v>26</v>
      </c>
      <c r="H69" s="91">
        <v>13</v>
      </c>
      <c r="I69" s="91">
        <v>9</v>
      </c>
      <c r="J69" s="124" t="str">
        <f t="shared" si="92"/>
        <v>SM9</v>
      </c>
      <c r="K69" s="125">
        <f t="shared" ref="K69:U69" ca="1" si="102">IF(K5="","",K$66-1+K5)</f>
        <v>5</v>
      </c>
      <c r="L69" s="124">
        <f t="shared" ca="1" si="102"/>
        <v>4</v>
      </c>
      <c r="M69" s="124">
        <f t="shared" ca="1" si="102"/>
        <v>4</v>
      </c>
      <c r="N69" s="124">
        <f t="shared" ca="1" si="102"/>
        <v>4</v>
      </c>
      <c r="O69" s="124">
        <f t="shared" ca="1" si="102"/>
        <v>4</v>
      </c>
      <c r="P69" s="124">
        <f t="shared" ca="1" si="102"/>
        <v>4</v>
      </c>
      <c r="Q69" s="124">
        <f t="shared" ca="1" si="102"/>
        <v>4</v>
      </c>
      <c r="R69" s="124">
        <f t="shared" ca="1" si="102"/>
        <v>4</v>
      </c>
      <c r="S69" s="124" t="str">
        <f t="shared" si="102"/>
        <v/>
      </c>
      <c r="T69" s="124" t="str">
        <f t="shared" si="102"/>
        <v/>
      </c>
      <c r="U69" s="124" t="str">
        <f t="shared" si="102"/>
        <v/>
      </c>
      <c r="V69" s="124" t="str">
        <f t="shared" si="94"/>
        <v>SM9</v>
      </c>
      <c r="W69" s="125">
        <f t="shared" ca="1" si="95"/>
        <v>3</v>
      </c>
      <c r="X69" s="126" t="str">
        <f t="shared" si="95"/>
        <v/>
      </c>
      <c r="Y69" s="126" t="str">
        <f t="shared" si="95"/>
        <v/>
      </c>
      <c r="Z69" s="124">
        <v>0</v>
      </c>
      <c r="AA69" s="91" t="str">
        <f t="shared" si="90"/>
        <v>C4</v>
      </c>
      <c r="AB69" s="91">
        <v>68</v>
      </c>
      <c r="AC69" s="95">
        <f t="shared" ca="1" si="96"/>
        <v>100000</v>
      </c>
      <c r="AD69" s="95" t="s">
        <v>944</v>
      </c>
      <c r="AE69" s="95" t="str">
        <f t="shared" ca="1" si="97"/>
        <v/>
      </c>
      <c r="AF69" s="95">
        <f t="shared" ca="1" si="98"/>
        <v>100000</v>
      </c>
      <c r="AG69" s="95" t="str">
        <f t="shared" ca="1" si="99"/>
        <v xml:space="preserve"> </v>
      </c>
      <c r="AH69" s="95" t="e">
        <f t="shared" ca="1" si="100"/>
        <v>#N/A</v>
      </c>
      <c r="AY69" s="55" t="s">
        <v>818</v>
      </c>
      <c r="AZ69" s="219">
        <v>44503</v>
      </c>
    </row>
    <row r="70" spans="1:52" x14ac:dyDescent="0.2">
      <c r="A70" s="45" t="s">
        <v>40</v>
      </c>
      <c r="B70" s="89" t="s">
        <v>64</v>
      </c>
      <c r="C70" s="90">
        <v>70</v>
      </c>
      <c r="D70" s="91" t="str">
        <f t="shared" si="91"/>
        <v>SM4</v>
      </c>
      <c r="E70" s="91" t="str">
        <f t="shared" si="87"/>
        <v/>
      </c>
      <c r="F70" s="91" t="str">
        <f t="shared" si="88"/>
        <v/>
      </c>
      <c r="G70" s="91">
        <v>27</v>
      </c>
      <c r="H70" s="91">
        <v>13</v>
      </c>
      <c r="I70" s="91">
        <v>4</v>
      </c>
      <c r="J70" s="124" t="str">
        <f t="shared" si="92"/>
        <v>SM4</v>
      </c>
      <c r="K70" s="125">
        <f t="shared" ref="K70:U70" ca="1" si="103">IF(K6="","",K$66-1+K6)</f>
        <v>6</v>
      </c>
      <c r="L70" s="124">
        <f t="shared" ca="1" si="103"/>
        <v>5</v>
      </c>
      <c r="M70" s="124">
        <f t="shared" ca="1" si="103"/>
        <v>5</v>
      </c>
      <c r="N70" s="124">
        <f t="shared" ca="1" si="103"/>
        <v>5</v>
      </c>
      <c r="O70" s="124">
        <f t="shared" ca="1" si="103"/>
        <v>5</v>
      </c>
      <c r="P70" s="124">
        <f t="shared" ca="1" si="103"/>
        <v>5</v>
      </c>
      <c r="Q70" s="124">
        <f t="shared" ca="1" si="103"/>
        <v>5</v>
      </c>
      <c r="R70" s="124">
        <f t="shared" ca="1" si="103"/>
        <v>5</v>
      </c>
      <c r="S70" s="124">
        <f t="shared" ca="1" si="103"/>
        <v>4</v>
      </c>
      <c r="T70" s="124">
        <f t="shared" ca="1" si="103"/>
        <v>3</v>
      </c>
      <c r="U70" s="124">
        <f t="shared" ca="1" si="103"/>
        <v>3</v>
      </c>
      <c r="V70" s="124" t="str">
        <f t="shared" si="94"/>
        <v>SM4</v>
      </c>
      <c r="W70" s="125">
        <f t="shared" ca="1" si="95"/>
        <v>4</v>
      </c>
      <c r="X70" s="126">
        <f t="shared" ca="1" si="95"/>
        <v>3</v>
      </c>
      <c r="Y70" s="126">
        <f t="shared" ca="1" si="95"/>
        <v>3</v>
      </c>
      <c r="Z70" s="124">
        <v>0</v>
      </c>
      <c r="AA70" s="91" t="str">
        <f t="shared" si="90"/>
        <v>C5</v>
      </c>
      <c r="AB70" s="91">
        <v>69</v>
      </c>
      <c r="AC70" s="95">
        <f t="shared" ca="1" si="96"/>
        <v>100000</v>
      </c>
      <c r="AD70" s="95" t="s">
        <v>945</v>
      </c>
      <c r="AE70" s="95" t="str">
        <f t="shared" ca="1" si="97"/>
        <v/>
      </c>
      <c r="AF70" s="95">
        <f t="shared" ca="1" si="98"/>
        <v>100000</v>
      </c>
      <c r="AG70" s="95" t="str">
        <f t="shared" ca="1" si="99"/>
        <v xml:space="preserve"> </v>
      </c>
      <c r="AH70" s="95" t="e">
        <f t="shared" ca="1" si="100"/>
        <v>#N/A</v>
      </c>
      <c r="AY70" s="55" t="s">
        <v>819</v>
      </c>
      <c r="AZ70" s="219">
        <v>44510</v>
      </c>
    </row>
    <row r="71" spans="1:52" x14ac:dyDescent="0.2">
      <c r="A71" s="45" t="s">
        <v>21</v>
      </c>
      <c r="B71" s="89" t="s">
        <v>65</v>
      </c>
      <c r="C71" s="90">
        <v>71</v>
      </c>
      <c r="D71" s="91" t="str">
        <f t="shared" si="91"/>
        <v>SM13</v>
      </c>
      <c r="E71" s="91" t="str">
        <f t="shared" si="87"/>
        <v/>
      </c>
      <c r="F71" s="91" t="str">
        <f t="shared" si="88"/>
        <v/>
      </c>
      <c r="G71" s="91">
        <v>27</v>
      </c>
      <c r="H71" s="91">
        <v>13</v>
      </c>
      <c r="I71" s="91">
        <v>13</v>
      </c>
      <c r="J71" s="124" t="str">
        <f t="shared" si="92"/>
        <v>SM13</v>
      </c>
      <c r="K71" s="125">
        <f t="shared" ref="K71:U71" ca="1" si="104">IF(K7="","",K$66-1+K7)</f>
        <v>7</v>
      </c>
      <c r="L71" s="124">
        <f t="shared" ca="1" si="104"/>
        <v>6</v>
      </c>
      <c r="M71" s="124">
        <f t="shared" ca="1" si="104"/>
        <v>6</v>
      </c>
      <c r="N71" s="124">
        <f t="shared" ca="1" si="104"/>
        <v>6</v>
      </c>
      <c r="O71" s="124" t="str">
        <f t="shared" si="104"/>
        <v/>
      </c>
      <c r="P71" s="124" t="str">
        <f t="shared" si="104"/>
        <v/>
      </c>
      <c r="Q71" s="124" t="str">
        <f t="shared" si="104"/>
        <v/>
      </c>
      <c r="R71" s="124" t="str">
        <f t="shared" si="104"/>
        <v/>
      </c>
      <c r="S71" s="124" t="str">
        <f t="shared" si="104"/>
        <v/>
      </c>
      <c r="T71" s="124" t="str">
        <f t="shared" si="104"/>
        <v/>
      </c>
      <c r="U71" s="124" t="str">
        <f t="shared" si="104"/>
        <v/>
      </c>
      <c r="V71" s="124" t="str">
        <f t="shared" si="94"/>
        <v>SM13</v>
      </c>
      <c r="W71" s="125">
        <f t="shared" ca="1" si="95"/>
        <v>4</v>
      </c>
      <c r="X71" s="126">
        <f t="shared" ca="1" si="95"/>
        <v>3</v>
      </c>
      <c r="Y71" s="126">
        <f t="shared" ca="1" si="95"/>
        <v>3</v>
      </c>
      <c r="Z71" s="124">
        <v>0</v>
      </c>
      <c r="AA71" s="91" t="str">
        <f t="shared" si="90"/>
        <v>C6</v>
      </c>
      <c r="AB71" s="91">
        <v>70</v>
      </c>
      <c r="AC71" s="95">
        <f t="shared" ca="1" si="96"/>
        <v>100000</v>
      </c>
      <c r="AD71" s="95" t="s">
        <v>946</v>
      </c>
      <c r="AE71" s="95" t="str">
        <f t="shared" ca="1" si="97"/>
        <v/>
      </c>
      <c r="AF71" s="95">
        <f t="shared" ca="1" si="98"/>
        <v>100000</v>
      </c>
      <c r="AG71" s="95" t="str">
        <f t="shared" ca="1" si="99"/>
        <v xml:space="preserve"> </v>
      </c>
      <c r="AH71" s="95" t="e">
        <f t="shared" ca="1" si="100"/>
        <v>#N/A</v>
      </c>
      <c r="AY71" s="55" t="s">
        <v>820</v>
      </c>
      <c r="AZ71" s="219">
        <v>44517</v>
      </c>
    </row>
    <row r="72" spans="1:52" x14ac:dyDescent="0.2">
      <c r="A72" s="45" t="s">
        <v>223</v>
      </c>
      <c r="B72" s="89" t="s">
        <v>411</v>
      </c>
      <c r="C72" s="90">
        <v>72</v>
      </c>
      <c r="D72" s="91" t="str">
        <f t="shared" si="91"/>
        <v>SM5</v>
      </c>
      <c r="E72" s="91" t="str">
        <f t="shared" si="87"/>
        <v/>
      </c>
      <c r="F72" s="91" t="str">
        <f t="shared" si="88"/>
        <v/>
      </c>
      <c r="G72" s="91">
        <v>27</v>
      </c>
      <c r="H72" s="91">
        <v>13</v>
      </c>
      <c r="I72" s="91">
        <v>5</v>
      </c>
      <c r="J72" s="124" t="str">
        <f t="shared" si="92"/>
        <v>SM5</v>
      </c>
      <c r="K72" s="125">
        <f t="shared" ref="K72:U72" ca="1" si="105">IF(K8="","",K$66-1+K8)</f>
        <v>8</v>
      </c>
      <c r="L72" s="124">
        <f t="shared" ca="1" si="105"/>
        <v>7</v>
      </c>
      <c r="M72" s="124">
        <f t="shared" ca="1" si="105"/>
        <v>7</v>
      </c>
      <c r="N72" s="124">
        <f t="shared" ca="1" si="105"/>
        <v>7</v>
      </c>
      <c r="O72" s="124">
        <f t="shared" ca="1" si="105"/>
        <v>6</v>
      </c>
      <c r="P72" s="124">
        <f t="shared" ca="1" si="105"/>
        <v>6</v>
      </c>
      <c r="Q72" s="124">
        <f t="shared" ca="1" si="105"/>
        <v>6</v>
      </c>
      <c r="R72" s="124">
        <f t="shared" ca="1" si="105"/>
        <v>6</v>
      </c>
      <c r="S72" s="124">
        <f t="shared" ca="1" si="105"/>
        <v>5</v>
      </c>
      <c r="T72" s="124">
        <f t="shared" ca="1" si="105"/>
        <v>4</v>
      </c>
      <c r="U72" s="124">
        <f t="shared" ca="1" si="105"/>
        <v>4</v>
      </c>
      <c r="V72" s="124" t="str">
        <f t="shared" si="94"/>
        <v>SM5</v>
      </c>
      <c r="W72" s="125">
        <f t="shared" ca="1" si="95"/>
        <v>5</v>
      </c>
      <c r="X72" s="126">
        <f t="shared" ca="1" si="95"/>
        <v>4</v>
      </c>
      <c r="Y72" s="126">
        <f t="shared" ca="1" si="95"/>
        <v>4</v>
      </c>
      <c r="Z72" s="124">
        <v>0</v>
      </c>
      <c r="AA72" s="91" t="str">
        <f t="shared" si="90"/>
        <v>C7</v>
      </c>
      <c r="AB72" s="91">
        <v>71</v>
      </c>
      <c r="AC72" s="95">
        <f t="shared" ca="1" si="96"/>
        <v>100000</v>
      </c>
      <c r="AD72" s="95" t="s">
        <v>947</v>
      </c>
      <c r="AE72" s="95" t="str">
        <f t="shared" ca="1" si="97"/>
        <v/>
      </c>
      <c r="AF72" s="95">
        <f t="shared" ca="1" si="98"/>
        <v>100000</v>
      </c>
      <c r="AG72" s="95" t="str">
        <f t="shared" ca="1" si="99"/>
        <v xml:space="preserve"> </v>
      </c>
      <c r="AH72" s="95" t="e">
        <f t="shared" ca="1" si="100"/>
        <v>#N/A</v>
      </c>
      <c r="AY72" s="55" t="s">
        <v>821</v>
      </c>
      <c r="AZ72" s="219">
        <v>44524</v>
      </c>
    </row>
    <row r="73" spans="1:52" x14ac:dyDescent="0.2">
      <c r="A73" s="45" t="s">
        <v>145</v>
      </c>
      <c r="B73" s="89" t="s">
        <v>331</v>
      </c>
      <c r="C73" s="90">
        <v>73</v>
      </c>
      <c r="D73" s="91" t="str">
        <f t="shared" si="91"/>
        <v>SM12</v>
      </c>
      <c r="E73" s="91" t="str">
        <f t="shared" si="87"/>
        <v/>
      </c>
      <c r="F73" s="91" t="str">
        <f t="shared" si="88"/>
        <v/>
      </c>
      <c r="G73" s="91">
        <v>27</v>
      </c>
      <c r="H73" s="91">
        <v>13</v>
      </c>
      <c r="I73" s="91">
        <v>12</v>
      </c>
      <c r="J73" s="124" t="str">
        <f t="shared" si="92"/>
        <v>SM12</v>
      </c>
      <c r="K73" s="125">
        <f t="shared" ref="K73:U73" ca="1" si="106">IF(K9="","",K$66-1+K9)</f>
        <v>9</v>
      </c>
      <c r="L73" s="124">
        <f t="shared" ca="1" si="106"/>
        <v>8</v>
      </c>
      <c r="M73" s="124">
        <f t="shared" ca="1" si="106"/>
        <v>8</v>
      </c>
      <c r="N73" s="124">
        <f t="shared" ca="1" si="106"/>
        <v>8</v>
      </c>
      <c r="O73" s="124">
        <f t="shared" ca="1" si="106"/>
        <v>7</v>
      </c>
      <c r="P73" s="124" t="str">
        <f t="shared" si="106"/>
        <v/>
      </c>
      <c r="Q73" s="124" t="str">
        <f t="shared" si="106"/>
        <v/>
      </c>
      <c r="R73" s="124" t="str">
        <f t="shared" si="106"/>
        <v/>
      </c>
      <c r="S73" s="124" t="str">
        <f t="shared" si="106"/>
        <v/>
      </c>
      <c r="T73" s="124" t="str">
        <f t="shared" si="106"/>
        <v/>
      </c>
      <c r="U73" s="124" t="str">
        <f t="shared" si="106"/>
        <v/>
      </c>
      <c r="V73" s="124" t="str">
        <f t="shared" si="94"/>
        <v>SM12</v>
      </c>
      <c r="W73" s="125">
        <f t="shared" ca="1" si="95"/>
        <v>5</v>
      </c>
      <c r="X73" s="126">
        <f t="shared" ca="1" si="95"/>
        <v>4</v>
      </c>
      <c r="Y73" s="126">
        <f t="shared" ca="1" si="95"/>
        <v>4</v>
      </c>
      <c r="Z73" s="124">
        <v>0</v>
      </c>
      <c r="AA73" s="91" t="str">
        <f t="shared" si="90"/>
        <v>C8</v>
      </c>
      <c r="AB73" s="91">
        <v>72</v>
      </c>
      <c r="AC73" s="95">
        <f t="shared" ca="1" si="96"/>
        <v>100000</v>
      </c>
      <c r="AD73" s="95" t="s">
        <v>948</v>
      </c>
      <c r="AE73" s="95" t="str">
        <f t="shared" ca="1" si="97"/>
        <v/>
      </c>
      <c r="AF73" s="95">
        <f t="shared" ca="1" si="98"/>
        <v>100000</v>
      </c>
      <c r="AG73" s="95" t="str">
        <f t="shared" ca="1" si="99"/>
        <v xml:space="preserve"> </v>
      </c>
      <c r="AH73" s="95" t="e">
        <f t="shared" ca="1" si="100"/>
        <v>#N/A</v>
      </c>
      <c r="AY73" s="55" t="s">
        <v>822</v>
      </c>
      <c r="AZ73" s="219">
        <v>44531</v>
      </c>
    </row>
    <row r="74" spans="1:52" x14ac:dyDescent="0.2">
      <c r="A74" s="45" t="s">
        <v>146</v>
      </c>
      <c r="B74" s="89" t="s">
        <v>332</v>
      </c>
      <c r="C74" s="90">
        <v>74</v>
      </c>
      <c r="D74" s="91" t="str">
        <f t="shared" si="91"/>
        <v>SM2</v>
      </c>
      <c r="E74" s="91" t="str">
        <f t="shared" si="87"/>
        <v/>
      </c>
      <c r="F74" s="91" t="str">
        <f t="shared" si="88"/>
        <v/>
      </c>
      <c r="G74" s="91">
        <v>29</v>
      </c>
      <c r="H74" s="91">
        <v>14</v>
      </c>
      <c r="I74" s="91">
        <v>2</v>
      </c>
      <c r="J74" s="124" t="str">
        <f t="shared" si="92"/>
        <v>SM2</v>
      </c>
      <c r="K74" s="125">
        <f t="shared" ref="K74:U74" ca="1" si="107">IF(K10="","",K$66-1+K10)</f>
        <v>10</v>
      </c>
      <c r="L74" s="124">
        <f t="shared" ca="1" si="107"/>
        <v>9</v>
      </c>
      <c r="M74" s="124">
        <f t="shared" ca="1" si="107"/>
        <v>9</v>
      </c>
      <c r="N74" s="124">
        <f t="shared" ca="1" si="107"/>
        <v>9</v>
      </c>
      <c r="O74" s="124">
        <f t="shared" ca="1" si="107"/>
        <v>8</v>
      </c>
      <c r="P74" s="124">
        <f t="shared" ca="1" si="107"/>
        <v>7</v>
      </c>
      <c r="Q74" s="124">
        <f t="shared" ca="1" si="107"/>
        <v>7</v>
      </c>
      <c r="R74" s="124">
        <f t="shared" ca="1" si="107"/>
        <v>7</v>
      </c>
      <c r="S74" s="124">
        <f t="shared" ca="1" si="107"/>
        <v>6</v>
      </c>
      <c r="T74" s="124">
        <f t="shared" ca="1" si="107"/>
        <v>5</v>
      </c>
      <c r="U74" s="124">
        <f t="shared" ca="1" si="107"/>
        <v>5</v>
      </c>
      <c r="V74" s="124" t="str">
        <f t="shared" si="94"/>
        <v>SM2</v>
      </c>
      <c r="W74" s="125">
        <f t="shared" ca="1" si="95"/>
        <v>6</v>
      </c>
      <c r="X74" s="126">
        <f t="shared" ca="1" si="95"/>
        <v>5</v>
      </c>
      <c r="Y74" s="126">
        <f t="shared" ca="1" si="95"/>
        <v>5</v>
      </c>
      <c r="Z74" s="124">
        <v>0</v>
      </c>
      <c r="AA74" s="91" t="str">
        <f t="shared" si="90"/>
        <v>C9</v>
      </c>
      <c r="AB74" s="91">
        <v>73</v>
      </c>
      <c r="AC74" s="95">
        <f t="shared" ca="1" si="96"/>
        <v>100000</v>
      </c>
      <c r="AD74" s="95" t="s">
        <v>949</v>
      </c>
      <c r="AE74" s="95" t="str">
        <f t="shared" ca="1" si="97"/>
        <v/>
      </c>
      <c r="AF74" s="95">
        <f t="shared" ca="1" si="98"/>
        <v>100000</v>
      </c>
      <c r="AG74" s="95" t="str">
        <f t="shared" ca="1" si="99"/>
        <v xml:space="preserve"> </v>
      </c>
      <c r="AH74" s="95" t="e">
        <f t="shared" ca="1" si="100"/>
        <v>#N/A</v>
      </c>
      <c r="AY74" s="55" t="s">
        <v>823</v>
      </c>
      <c r="AZ74" s="219">
        <v>44538</v>
      </c>
    </row>
    <row r="75" spans="1:52" x14ac:dyDescent="0.2">
      <c r="A75" s="45" t="s">
        <v>148</v>
      </c>
      <c r="B75" s="89" t="s">
        <v>334</v>
      </c>
      <c r="C75" s="90">
        <v>75</v>
      </c>
      <c r="D75" s="91" t="str">
        <f t="shared" si="91"/>
        <v>SM15</v>
      </c>
      <c r="E75" s="91" t="str">
        <f t="shared" si="87"/>
        <v/>
      </c>
      <c r="F75" s="91" t="str">
        <f t="shared" si="88"/>
        <v/>
      </c>
      <c r="G75" s="91">
        <v>29</v>
      </c>
      <c r="H75" s="91">
        <v>14</v>
      </c>
      <c r="I75" s="91">
        <v>15</v>
      </c>
      <c r="J75" s="124" t="str">
        <f t="shared" si="92"/>
        <v>SM15</v>
      </c>
      <c r="K75" s="125">
        <f t="shared" ref="K75:U75" ca="1" si="108">IF(K11="","",K$66-1+K11)</f>
        <v>11</v>
      </c>
      <c r="L75" s="124">
        <f t="shared" ca="1" si="108"/>
        <v>10</v>
      </c>
      <c r="M75" s="124" t="str">
        <f t="shared" si="108"/>
        <v/>
      </c>
      <c r="N75" s="124" t="str">
        <f t="shared" si="108"/>
        <v/>
      </c>
      <c r="O75" s="124" t="str">
        <f t="shared" si="108"/>
        <v/>
      </c>
      <c r="P75" s="124" t="str">
        <f t="shared" si="108"/>
        <v/>
      </c>
      <c r="Q75" s="124" t="str">
        <f t="shared" si="108"/>
        <v/>
      </c>
      <c r="R75" s="124" t="str">
        <f t="shared" si="108"/>
        <v/>
      </c>
      <c r="S75" s="124" t="str">
        <f t="shared" si="108"/>
        <v/>
      </c>
      <c r="T75" s="124" t="str">
        <f t="shared" si="108"/>
        <v/>
      </c>
      <c r="U75" s="124" t="str">
        <f t="shared" si="108"/>
        <v/>
      </c>
      <c r="V75" s="124" t="str">
        <f t="shared" si="94"/>
        <v>SM15</v>
      </c>
      <c r="W75" s="125">
        <f t="shared" ca="1" si="95"/>
        <v>6</v>
      </c>
      <c r="X75" s="126">
        <f t="shared" ca="1" si="95"/>
        <v>5</v>
      </c>
      <c r="Y75" s="126">
        <f t="shared" ca="1" si="95"/>
        <v>5</v>
      </c>
      <c r="Z75" s="124">
        <v>0</v>
      </c>
      <c r="AA75" s="91" t="str">
        <f t="shared" si="90"/>
        <v>C10</v>
      </c>
      <c r="AB75" s="91">
        <v>74</v>
      </c>
      <c r="AC75" s="95">
        <f t="shared" ca="1" si="96"/>
        <v>100000</v>
      </c>
      <c r="AD75" s="95" t="s">
        <v>950</v>
      </c>
      <c r="AE75" s="95" t="str">
        <f t="shared" ca="1" si="97"/>
        <v/>
      </c>
      <c r="AF75" s="95">
        <f t="shared" ca="1" si="98"/>
        <v>100000</v>
      </c>
      <c r="AG75" s="95" t="str">
        <f t="shared" ca="1" si="99"/>
        <v xml:space="preserve"> </v>
      </c>
      <c r="AH75" s="95" t="e">
        <f t="shared" ca="1" si="100"/>
        <v>#N/A</v>
      </c>
      <c r="AY75" s="55" t="s">
        <v>824</v>
      </c>
      <c r="AZ75" s="219">
        <v>44545</v>
      </c>
    </row>
    <row r="76" spans="1:52" x14ac:dyDescent="0.2">
      <c r="A76" s="45" t="s">
        <v>42</v>
      </c>
      <c r="B76" s="89" t="s">
        <v>67</v>
      </c>
      <c r="C76" s="90">
        <v>76</v>
      </c>
      <c r="D76" s="91" t="str">
        <f t="shared" si="91"/>
        <v>SM7</v>
      </c>
      <c r="E76" s="91" t="str">
        <f t="shared" si="87"/>
        <v/>
      </c>
      <c r="F76" s="91" t="str">
        <f t="shared" si="88"/>
        <v/>
      </c>
      <c r="G76" s="91">
        <v>29</v>
      </c>
      <c r="H76" s="91">
        <v>14</v>
      </c>
      <c r="I76" s="91">
        <v>7</v>
      </c>
      <c r="J76" s="124" t="str">
        <f t="shared" si="92"/>
        <v>SM7</v>
      </c>
      <c r="K76" s="125">
        <f t="shared" ref="K76:U76" ca="1" si="109">IF(K12="","",K$66-1+K12)</f>
        <v>12</v>
      </c>
      <c r="L76" s="124">
        <f t="shared" ca="1" si="109"/>
        <v>11</v>
      </c>
      <c r="M76" s="124">
        <f t="shared" ca="1" si="109"/>
        <v>10</v>
      </c>
      <c r="N76" s="124">
        <f t="shared" ca="1" si="109"/>
        <v>10</v>
      </c>
      <c r="O76" s="124">
        <f t="shared" ca="1" si="109"/>
        <v>9</v>
      </c>
      <c r="P76" s="124">
        <f t="shared" ca="1" si="109"/>
        <v>8</v>
      </c>
      <c r="Q76" s="124">
        <f t="shared" ca="1" si="109"/>
        <v>8</v>
      </c>
      <c r="R76" s="124">
        <f t="shared" ca="1" si="109"/>
        <v>8</v>
      </c>
      <c r="S76" s="124">
        <f t="shared" ca="1" si="109"/>
        <v>7</v>
      </c>
      <c r="T76" s="124">
        <f t="shared" ca="1" si="109"/>
        <v>6</v>
      </c>
      <c r="U76" s="124" t="str">
        <f t="shared" si="109"/>
        <v/>
      </c>
      <c r="V76" s="124" t="str">
        <f t="shared" si="94"/>
        <v>SM7</v>
      </c>
      <c r="W76" s="125">
        <f t="shared" ca="1" si="95"/>
        <v>7</v>
      </c>
      <c r="X76" s="126">
        <f t="shared" ca="1" si="95"/>
        <v>6</v>
      </c>
      <c r="Y76" s="126" t="str">
        <f t="shared" si="95"/>
        <v/>
      </c>
      <c r="Z76" s="124">
        <v>0</v>
      </c>
      <c r="AA76" s="91" t="str">
        <f t="shared" si="90"/>
        <v>C11</v>
      </c>
      <c r="AB76" s="91">
        <v>75</v>
      </c>
      <c r="AC76" s="95">
        <f t="shared" ca="1" si="96"/>
        <v>100000</v>
      </c>
      <c r="AD76" s="95" t="s">
        <v>951</v>
      </c>
      <c r="AE76" s="95" t="str">
        <f t="shared" ca="1" si="97"/>
        <v/>
      </c>
      <c r="AF76" s="95">
        <f t="shared" ca="1" si="98"/>
        <v>100000</v>
      </c>
      <c r="AG76" s="95" t="str">
        <f t="shared" ca="1" si="99"/>
        <v xml:space="preserve"> </v>
      </c>
      <c r="AH76" s="95" t="e">
        <f t="shared" ca="1" si="100"/>
        <v>#N/A</v>
      </c>
      <c r="AY76" s="55" t="s">
        <v>825</v>
      </c>
      <c r="AZ76" s="219">
        <v>44552</v>
      </c>
    </row>
    <row r="77" spans="1:52" x14ac:dyDescent="0.2">
      <c r="A77" s="45" t="s">
        <v>150</v>
      </c>
      <c r="B77" s="89" t="s">
        <v>336</v>
      </c>
      <c r="C77" s="90">
        <v>77</v>
      </c>
      <c r="D77" s="91" t="str">
        <f t="shared" si="91"/>
        <v>SM10</v>
      </c>
      <c r="E77" s="91" t="str">
        <f t="shared" si="87"/>
        <v/>
      </c>
      <c r="F77" s="91" t="str">
        <f t="shared" si="88"/>
        <v/>
      </c>
      <c r="G77" s="91">
        <v>29</v>
      </c>
      <c r="H77" s="91">
        <v>14</v>
      </c>
      <c r="I77" s="91">
        <v>10</v>
      </c>
      <c r="J77" s="124" t="str">
        <f t="shared" si="92"/>
        <v>SM10</v>
      </c>
      <c r="K77" s="125">
        <f t="shared" ref="K77:U77" ca="1" si="110">IF(K13="","",K$66-1+K13)</f>
        <v>13</v>
      </c>
      <c r="L77" s="124">
        <f t="shared" ca="1" si="110"/>
        <v>12</v>
      </c>
      <c r="M77" s="124">
        <f t="shared" ca="1" si="110"/>
        <v>11</v>
      </c>
      <c r="N77" s="124">
        <f t="shared" ca="1" si="110"/>
        <v>11</v>
      </c>
      <c r="O77" s="124">
        <f t="shared" ca="1" si="110"/>
        <v>10</v>
      </c>
      <c r="P77" s="124">
        <f t="shared" ca="1" si="110"/>
        <v>9</v>
      </c>
      <c r="Q77" s="124">
        <f t="shared" ca="1" si="110"/>
        <v>9</v>
      </c>
      <c r="R77" s="124" t="str">
        <f t="shared" si="110"/>
        <v/>
      </c>
      <c r="S77" s="124" t="str">
        <f t="shared" si="110"/>
        <v/>
      </c>
      <c r="T77" s="124" t="str">
        <f t="shared" si="110"/>
        <v/>
      </c>
      <c r="U77" s="124" t="str">
        <f t="shared" si="110"/>
        <v/>
      </c>
      <c r="V77" s="124" t="str">
        <f t="shared" si="94"/>
        <v>SM10</v>
      </c>
      <c r="W77" s="125">
        <f t="shared" ca="1" si="95"/>
        <v>7</v>
      </c>
      <c r="X77" s="126">
        <f t="shared" ca="1" si="95"/>
        <v>6</v>
      </c>
      <c r="Y77" s="126" t="str">
        <f t="shared" si="95"/>
        <v/>
      </c>
      <c r="Z77" s="124">
        <v>0</v>
      </c>
      <c r="AA77" s="91" t="str">
        <f t="shared" si="90"/>
        <v>C12</v>
      </c>
      <c r="AB77" s="91">
        <v>76</v>
      </c>
      <c r="AC77" s="95">
        <f t="shared" ca="1" si="96"/>
        <v>100000</v>
      </c>
      <c r="AD77" s="95" t="s">
        <v>952</v>
      </c>
      <c r="AE77" s="95" t="str">
        <f t="shared" ca="1" si="97"/>
        <v/>
      </c>
      <c r="AF77" s="95">
        <f t="shared" ca="1" si="98"/>
        <v>100000</v>
      </c>
      <c r="AG77" s="95" t="str">
        <f t="shared" ca="1" si="99"/>
        <v xml:space="preserve"> </v>
      </c>
      <c r="AH77" s="95" t="e">
        <f t="shared" ca="1" si="100"/>
        <v>#N/A</v>
      </c>
      <c r="AY77" s="55" t="s">
        <v>826</v>
      </c>
      <c r="AZ77" s="219">
        <v>44559</v>
      </c>
    </row>
    <row r="78" spans="1:52" x14ac:dyDescent="0.2">
      <c r="A78" s="45" t="s">
        <v>151</v>
      </c>
      <c r="B78" s="89" t="s">
        <v>337</v>
      </c>
      <c r="C78" s="90">
        <v>78</v>
      </c>
      <c r="D78" s="91" t="str">
        <f t="shared" si="91"/>
        <v>SM3</v>
      </c>
      <c r="E78" s="91" t="str">
        <f t="shared" si="87"/>
        <v/>
      </c>
      <c r="F78" s="91" t="str">
        <f t="shared" si="88"/>
        <v/>
      </c>
      <c r="G78" s="91">
        <v>30</v>
      </c>
      <c r="H78" s="91">
        <v>14</v>
      </c>
      <c r="I78" s="91">
        <v>3</v>
      </c>
      <c r="J78" s="124" t="str">
        <f t="shared" si="92"/>
        <v>SM3</v>
      </c>
      <c r="K78" s="125">
        <f t="shared" ref="K78:U78" ca="1" si="111">IF(K14="","",K$66-1+K14)</f>
        <v>14</v>
      </c>
      <c r="L78" s="124">
        <f t="shared" ca="1" si="111"/>
        <v>13</v>
      </c>
      <c r="M78" s="124">
        <f t="shared" ca="1" si="111"/>
        <v>12</v>
      </c>
      <c r="N78" s="124">
        <f t="shared" ca="1" si="111"/>
        <v>12</v>
      </c>
      <c r="O78" s="124">
        <f t="shared" ca="1" si="111"/>
        <v>11</v>
      </c>
      <c r="P78" s="124">
        <f t="shared" ca="1" si="111"/>
        <v>10</v>
      </c>
      <c r="Q78" s="124">
        <f t="shared" ca="1" si="111"/>
        <v>10</v>
      </c>
      <c r="R78" s="124">
        <f t="shared" ca="1" si="111"/>
        <v>9</v>
      </c>
      <c r="S78" s="124">
        <f t="shared" ca="1" si="111"/>
        <v>8</v>
      </c>
      <c r="T78" s="124">
        <f t="shared" ca="1" si="111"/>
        <v>7</v>
      </c>
      <c r="U78" s="124">
        <f t="shared" ca="1" si="111"/>
        <v>6</v>
      </c>
      <c r="V78" s="124" t="str">
        <f t="shared" si="94"/>
        <v>SM3</v>
      </c>
      <c r="W78" s="125">
        <f t="shared" ca="1" si="95"/>
        <v>8</v>
      </c>
      <c r="X78" s="126">
        <f t="shared" ca="1" si="95"/>
        <v>7</v>
      </c>
      <c r="Y78" s="126">
        <f t="shared" ca="1" si="95"/>
        <v>6</v>
      </c>
      <c r="Z78" s="124">
        <v>0</v>
      </c>
      <c r="AA78" s="91" t="str">
        <f t="shared" si="90"/>
        <v>C13</v>
      </c>
      <c r="AB78" s="91">
        <v>77</v>
      </c>
      <c r="AC78" s="95">
        <f t="shared" ca="1" si="96"/>
        <v>100000</v>
      </c>
      <c r="AD78" s="95" t="s">
        <v>953</v>
      </c>
      <c r="AE78" s="95" t="str">
        <f t="shared" ca="1" si="97"/>
        <v/>
      </c>
      <c r="AF78" s="95">
        <f t="shared" ca="1" si="98"/>
        <v>100000</v>
      </c>
      <c r="AG78" s="95" t="str">
        <f t="shared" ca="1" si="99"/>
        <v xml:space="preserve"> </v>
      </c>
      <c r="AH78" s="95" t="e">
        <f t="shared" ca="1" si="100"/>
        <v>#N/A</v>
      </c>
      <c r="AY78" s="55" t="s">
        <v>827</v>
      </c>
      <c r="AZ78" s="219">
        <v>44566</v>
      </c>
    </row>
    <row r="79" spans="1:52" x14ac:dyDescent="0.2">
      <c r="A79" s="45" t="s">
        <v>41</v>
      </c>
      <c r="B79" s="89" t="s">
        <v>66</v>
      </c>
      <c r="C79" s="90">
        <v>79</v>
      </c>
      <c r="D79" s="91" t="str">
        <f t="shared" si="91"/>
        <v>SM14</v>
      </c>
      <c r="E79" s="91" t="str">
        <f t="shared" si="87"/>
        <v/>
      </c>
      <c r="F79" s="91" t="str">
        <f t="shared" si="88"/>
        <v/>
      </c>
      <c r="G79" s="91">
        <v>30</v>
      </c>
      <c r="H79" s="91">
        <v>14</v>
      </c>
      <c r="I79" s="91">
        <v>14</v>
      </c>
      <c r="J79" s="124" t="str">
        <f t="shared" si="92"/>
        <v>SM14</v>
      </c>
      <c r="K79" s="125">
        <f t="shared" ref="K79:U79" ca="1" si="112">IF(K15="","",K$66-1+K15)</f>
        <v>15</v>
      </c>
      <c r="L79" s="124">
        <f t="shared" ca="1" si="112"/>
        <v>14</v>
      </c>
      <c r="M79" s="124">
        <f t="shared" ca="1" si="112"/>
        <v>13</v>
      </c>
      <c r="N79" s="124" t="str">
        <f t="shared" si="112"/>
        <v/>
      </c>
      <c r="O79" s="124" t="str">
        <f t="shared" si="112"/>
        <v/>
      </c>
      <c r="P79" s="124" t="str">
        <f t="shared" si="112"/>
        <v/>
      </c>
      <c r="Q79" s="124" t="str">
        <f t="shared" si="112"/>
        <v/>
      </c>
      <c r="R79" s="124" t="str">
        <f t="shared" si="112"/>
        <v/>
      </c>
      <c r="S79" s="124" t="str">
        <f t="shared" si="112"/>
        <v/>
      </c>
      <c r="T79" s="124" t="str">
        <f t="shared" si="112"/>
        <v/>
      </c>
      <c r="U79" s="124" t="str">
        <f t="shared" si="112"/>
        <v/>
      </c>
      <c r="V79" s="124" t="str">
        <f t="shared" si="94"/>
        <v>SM14</v>
      </c>
      <c r="W79" s="125">
        <f t="shared" ca="1" si="95"/>
        <v>8</v>
      </c>
      <c r="X79" s="126">
        <f t="shared" ca="1" si="95"/>
        <v>7</v>
      </c>
      <c r="Y79" s="126">
        <f t="shared" ca="1" si="95"/>
        <v>6</v>
      </c>
      <c r="Z79" s="124">
        <v>0</v>
      </c>
      <c r="AA79" s="91" t="str">
        <f t="shared" si="90"/>
        <v>C14</v>
      </c>
      <c r="AB79" s="91">
        <v>78</v>
      </c>
      <c r="AC79" s="95">
        <f t="shared" ca="1" si="96"/>
        <v>100000</v>
      </c>
      <c r="AD79" s="95" t="s">
        <v>954</v>
      </c>
      <c r="AE79" s="95" t="str">
        <f t="shared" ca="1" si="97"/>
        <v/>
      </c>
      <c r="AF79" s="95">
        <f t="shared" ca="1" si="98"/>
        <v>100000</v>
      </c>
      <c r="AG79" s="95" t="str">
        <f t="shared" ca="1" si="99"/>
        <v xml:space="preserve"> </v>
      </c>
      <c r="AH79" s="95" t="e">
        <f t="shared" ca="1" si="100"/>
        <v>#N/A</v>
      </c>
      <c r="AY79" s="55" t="s">
        <v>828</v>
      </c>
      <c r="AZ79" s="219">
        <v>44573</v>
      </c>
    </row>
    <row r="80" spans="1:52" x14ac:dyDescent="0.2">
      <c r="A80" s="45" t="s">
        <v>152</v>
      </c>
      <c r="B80" s="89" t="s">
        <v>338</v>
      </c>
      <c r="C80" s="90">
        <v>80</v>
      </c>
      <c r="D80" s="91" t="str">
        <f t="shared" si="91"/>
        <v>SM6</v>
      </c>
      <c r="E80" s="91" t="str">
        <f t="shared" si="87"/>
        <v/>
      </c>
      <c r="F80" s="91" t="str">
        <f t="shared" si="88"/>
        <v/>
      </c>
      <c r="G80" s="91">
        <v>30</v>
      </c>
      <c r="H80" s="91">
        <v>14</v>
      </c>
      <c r="I80" s="91">
        <v>6</v>
      </c>
      <c r="J80" s="124" t="str">
        <f t="shared" si="92"/>
        <v>SM6</v>
      </c>
      <c r="K80" s="125">
        <f t="shared" ref="K80:U80" ca="1" si="113">IF(K16="","",K$66-1+K16)</f>
        <v>16</v>
      </c>
      <c r="L80" s="124">
        <f t="shared" ca="1" si="113"/>
        <v>15</v>
      </c>
      <c r="M80" s="124">
        <f t="shared" ca="1" si="113"/>
        <v>14</v>
      </c>
      <c r="N80" s="124">
        <f t="shared" ca="1" si="113"/>
        <v>13</v>
      </c>
      <c r="O80" s="124">
        <f t="shared" ca="1" si="113"/>
        <v>12</v>
      </c>
      <c r="P80" s="124">
        <f t="shared" ca="1" si="113"/>
        <v>11</v>
      </c>
      <c r="Q80" s="124">
        <f t="shared" ca="1" si="113"/>
        <v>11</v>
      </c>
      <c r="R80" s="124">
        <f t="shared" ca="1" si="113"/>
        <v>10</v>
      </c>
      <c r="S80" s="124">
        <f t="shared" ca="1" si="113"/>
        <v>9</v>
      </c>
      <c r="T80" s="124">
        <f t="shared" ca="1" si="113"/>
        <v>8</v>
      </c>
      <c r="U80" s="124">
        <f t="shared" ca="1" si="113"/>
        <v>7</v>
      </c>
      <c r="V80" s="124" t="str">
        <f t="shared" si="94"/>
        <v>SM6</v>
      </c>
      <c r="W80" s="125">
        <f t="shared" ca="1" si="95"/>
        <v>9</v>
      </c>
      <c r="X80" s="126">
        <f t="shared" ca="1" si="95"/>
        <v>8</v>
      </c>
      <c r="Y80" s="126">
        <f t="shared" ca="1" si="95"/>
        <v>7</v>
      </c>
      <c r="Z80" s="124">
        <v>0</v>
      </c>
      <c r="AA80" s="91" t="str">
        <f t="shared" si="90"/>
        <v>C15</v>
      </c>
      <c r="AB80" s="91">
        <v>79</v>
      </c>
      <c r="AC80" s="95">
        <f t="shared" ca="1" si="96"/>
        <v>100000</v>
      </c>
      <c r="AD80" s="95" t="s">
        <v>955</v>
      </c>
      <c r="AE80" s="95" t="str">
        <f t="shared" ca="1" si="97"/>
        <v/>
      </c>
      <c r="AF80" s="95">
        <f t="shared" ca="1" si="98"/>
        <v>100000</v>
      </c>
      <c r="AG80" s="95" t="str">
        <f t="shared" ca="1" si="99"/>
        <v xml:space="preserve"> </v>
      </c>
      <c r="AH80" s="95" t="e">
        <f t="shared" ca="1" si="100"/>
        <v>#N/A</v>
      </c>
      <c r="AY80" s="55" t="s">
        <v>829</v>
      </c>
      <c r="AZ80" s="219">
        <v>44580</v>
      </c>
    </row>
    <row r="81" spans="1:52" x14ac:dyDescent="0.2">
      <c r="A81" s="45" t="s">
        <v>153</v>
      </c>
      <c r="B81" s="89" t="s">
        <v>339</v>
      </c>
      <c r="C81" s="90">
        <v>81</v>
      </c>
      <c r="D81" s="91" t="str">
        <f t="shared" si="91"/>
        <v>SM11</v>
      </c>
      <c r="E81" s="91" t="str">
        <f t="shared" si="87"/>
        <v/>
      </c>
      <c r="F81" s="91" t="str">
        <f t="shared" si="88"/>
        <v/>
      </c>
      <c r="G81" s="91">
        <v>30</v>
      </c>
      <c r="H81" s="91">
        <v>14</v>
      </c>
      <c r="I81" s="91">
        <v>11</v>
      </c>
      <c r="J81" s="124" t="str">
        <f t="shared" si="92"/>
        <v>SM11</v>
      </c>
      <c r="K81" s="125">
        <f t="shared" ref="K81:U81" ca="1" si="114">IF(K17="","",K$66-1+K17)</f>
        <v>17</v>
      </c>
      <c r="L81" s="124">
        <f t="shared" ca="1" si="114"/>
        <v>16</v>
      </c>
      <c r="M81" s="124">
        <f t="shared" ca="1" si="114"/>
        <v>15</v>
      </c>
      <c r="N81" s="124">
        <f t="shared" ca="1" si="114"/>
        <v>14</v>
      </c>
      <c r="O81" s="124">
        <f t="shared" ca="1" si="114"/>
        <v>13</v>
      </c>
      <c r="P81" s="124">
        <f t="shared" ca="1" si="114"/>
        <v>12</v>
      </c>
      <c r="Q81" s="124" t="str">
        <f t="shared" si="114"/>
        <v/>
      </c>
      <c r="R81" s="124" t="str">
        <f t="shared" si="114"/>
        <v/>
      </c>
      <c r="S81" s="124" t="str">
        <f t="shared" si="114"/>
        <v/>
      </c>
      <c r="T81" s="124" t="str">
        <f t="shared" si="114"/>
        <v/>
      </c>
      <c r="U81" s="124" t="str">
        <f t="shared" si="114"/>
        <v/>
      </c>
      <c r="V81" s="124" t="str">
        <f t="shared" si="94"/>
        <v>SM11</v>
      </c>
      <c r="W81" s="125">
        <f t="shared" ca="1" si="95"/>
        <v>9</v>
      </c>
      <c r="X81" s="126">
        <f t="shared" ca="1" si="95"/>
        <v>8</v>
      </c>
      <c r="Y81" s="126">
        <f t="shared" ca="1" si="95"/>
        <v>7</v>
      </c>
      <c r="Z81" s="124">
        <v>0</v>
      </c>
      <c r="AA81" s="91" t="str">
        <f t="shared" si="90"/>
        <v>C16</v>
      </c>
      <c r="AB81" s="91">
        <v>80</v>
      </c>
      <c r="AC81" s="95">
        <f t="shared" ca="1" si="96"/>
        <v>100000</v>
      </c>
      <c r="AD81" s="95" t="s">
        <v>956</v>
      </c>
      <c r="AE81" s="95" t="str">
        <f t="shared" ca="1" si="97"/>
        <v/>
      </c>
      <c r="AF81" s="95">
        <f t="shared" ca="1" si="98"/>
        <v>100000</v>
      </c>
      <c r="AG81" s="95" t="str">
        <f t="shared" ca="1" si="99"/>
        <v xml:space="preserve"> </v>
      </c>
      <c r="AH81" s="95" t="e">
        <f t="shared" ca="1" si="100"/>
        <v>#N/A</v>
      </c>
      <c r="AY81" s="55" t="s">
        <v>830</v>
      </c>
      <c r="AZ81" s="219">
        <v>44587</v>
      </c>
    </row>
    <row r="82" spans="1:52" x14ac:dyDescent="0.2">
      <c r="A82" s="45" t="s">
        <v>156</v>
      </c>
      <c r="B82" s="89" t="s">
        <v>342</v>
      </c>
      <c r="C82" s="90">
        <v>82</v>
      </c>
      <c r="D82" s="91" t="str">
        <f>$AJ$7&amp;I82</f>
        <v>SW1</v>
      </c>
      <c r="E82" s="91" t="str">
        <f t="shared" ref="E82:E97" si="115">IFERROR(HLOOKUP($AL$7,$J$1:$U$81,C82,FALSE),"")</f>
        <v/>
      </c>
      <c r="F82" s="91" t="str">
        <f t="shared" ref="F82:F97" si="116">IFERROR(HLOOKUP($AM$7,$V$1:$Y$97,C82,FALSE),"")</f>
        <v/>
      </c>
      <c r="G82" s="91">
        <v>32</v>
      </c>
      <c r="H82" s="91">
        <v>16</v>
      </c>
      <c r="I82" s="91">
        <v>1</v>
      </c>
      <c r="J82" s="127" t="str">
        <f t="shared" si="92"/>
        <v>SW1</v>
      </c>
      <c r="K82" s="128">
        <f t="shared" ref="K82:U82" ca="1" si="117">MAX(INDIRECT(VLOOKUP($AL$6,$AI$8:$AO$24,6,FALSE)))+2</f>
        <v>2</v>
      </c>
      <c r="L82" s="127">
        <f t="shared" ca="1" si="117"/>
        <v>2</v>
      </c>
      <c r="M82" s="127">
        <f t="shared" ca="1" si="117"/>
        <v>2</v>
      </c>
      <c r="N82" s="127">
        <f t="shared" ca="1" si="117"/>
        <v>2</v>
      </c>
      <c r="O82" s="127">
        <f t="shared" ca="1" si="117"/>
        <v>2</v>
      </c>
      <c r="P82" s="127">
        <f t="shared" ca="1" si="117"/>
        <v>2</v>
      </c>
      <c r="Q82" s="127">
        <f t="shared" ca="1" si="117"/>
        <v>2</v>
      </c>
      <c r="R82" s="127">
        <f t="shared" ca="1" si="117"/>
        <v>2</v>
      </c>
      <c r="S82" s="127">
        <f t="shared" ca="1" si="117"/>
        <v>2</v>
      </c>
      <c r="T82" s="127">
        <f t="shared" ca="1" si="117"/>
        <v>2</v>
      </c>
      <c r="U82" s="127">
        <f t="shared" ca="1" si="117"/>
        <v>2</v>
      </c>
      <c r="V82" s="127" t="str">
        <f t="shared" si="94"/>
        <v>SW1</v>
      </c>
      <c r="W82" s="128">
        <f ca="1">MAX(INDIRECT(VLOOKUP($AM$6,$AI$25:$AO$33,6,FALSE)))+2</f>
        <v>2</v>
      </c>
      <c r="X82" s="129">
        <f ca="1">MAX(INDIRECT(VLOOKUP($AM$6,$AI$25:$AO$33,6,FALSE)))+2</f>
        <v>2</v>
      </c>
      <c r="Y82" s="129">
        <f ca="1">MAX(INDIRECT(VLOOKUP($AM$6,$AI$25:$AO$33,6,FALSE)))+2</f>
        <v>2</v>
      </c>
      <c r="Z82" s="129">
        <v>0</v>
      </c>
      <c r="AA82" s="91" t="str">
        <f t="shared" ref="AA82:AA97" si="118">$AJ$6&amp;C1</f>
        <v>SM1</v>
      </c>
      <c r="AB82" s="91">
        <v>81</v>
      </c>
      <c r="AC82" s="95">
        <f t="shared" ca="1" si="96"/>
        <v>100000</v>
      </c>
      <c r="AD82" s="95" t="s">
        <v>957</v>
      </c>
      <c r="AE82" s="95" t="str">
        <f t="shared" ca="1" si="97"/>
        <v/>
      </c>
      <c r="AF82" s="95">
        <f t="shared" ca="1" si="98"/>
        <v>100000</v>
      </c>
      <c r="AG82" s="95" t="str">
        <f t="shared" ca="1" si="99"/>
        <v xml:space="preserve"> </v>
      </c>
      <c r="AH82" s="95" t="e">
        <f t="shared" ca="1" si="100"/>
        <v>#N/A</v>
      </c>
      <c r="AY82" s="55" t="s">
        <v>831</v>
      </c>
      <c r="AZ82" s="219">
        <v>44594</v>
      </c>
    </row>
    <row r="83" spans="1:52" x14ac:dyDescent="0.2">
      <c r="A83" s="45" t="s">
        <v>154</v>
      </c>
      <c r="B83" s="89" t="s">
        <v>340</v>
      </c>
      <c r="C83" s="90">
        <v>83</v>
      </c>
      <c r="D83" s="91" t="str">
        <f t="shared" ref="D83:D97" si="119">$AJ$7&amp;I83</f>
        <v>SW16</v>
      </c>
      <c r="E83" s="91" t="str">
        <f t="shared" si="115"/>
        <v/>
      </c>
      <c r="F83" s="91" t="str">
        <f t="shared" si="116"/>
        <v/>
      </c>
      <c r="G83" s="91">
        <v>32</v>
      </c>
      <c r="H83" s="91">
        <v>16</v>
      </c>
      <c r="I83" s="91">
        <v>16</v>
      </c>
      <c r="J83" s="127" t="str">
        <f t="shared" si="92"/>
        <v>SW16</v>
      </c>
      <c r="K83" s="128">
        <f ca="1">IF(K3="","",K$82-1+K3)</f>
        <v>3</v>
      </c>
      <c r="L83" s="127" t="str">
        <f t="shared" ref="L83:U83" si="120">IF(L3="","",L$82-1+L3)</f>
        <v/>
      </c>
      <c r="M83" s="127" t="str">
        <f t="shared" si="120"/>
        <v/>
      </c>
      <c r="N83" s="127" t="str">
        <f t="shared" si="120"/>
        <v/>
      </c>
      <c r="O83" s="127" t="str">
        <f t="shared" si="120"/>
        <v/>
      </c>
      <c r="P83" s="127" t="str">
        <f t="shared" si="120"/>
        <v/>
      </c>
      <c r="Q83" s="127" t="str">
        <f t="shared" si="120"/>
        <v/>
      </c>
      <c r="R83" s="127" t="str">
        <f t="shared" si="120"/>
        <v/>
      </c>
      <c r="S83" s="127" t="str">
        <f t="shared" si="120"/>
        <v/>
      </c>
      <c r="T83" s="127" t="str">
        <f t="shared" si="120"/>
        <v/>
      </c>
      <c r="U83" s="127" t="str">
        <f t="shared" si="120"/>
        <v/>
      </c>
      <c r="V83" s="127" t="str">
        <f t="shared" si="94"/>
        <v>SW16</v>
      </c>
      <c r="W83" s="128">
        <f ca="1">IF(W3="","",W$82-1+W3)</f>
        <v>2</v>
      </c>
      <c r="X83" s="129">
        <f ca="1">IF(X3="","",X$82-1+X3)</f>
        <v>2</v>
      </c>
      <c r="Y83" s="129">
        <f ca="1">IF(Y3="","",Y$82-1+Y3)</f>
        <v>2</v>
      </c>
      <c r="Z83" s="127">
        <v>0</v>
      </c>
      <c r="AA83" s="91" t="str">
        <f t="shared" si="118"/>
        <v>SM2</v>
      </c>
      <c r="AB83" s="91">
        <v>82</v>
      </c>
      <c r="AC83" s="95">
        <f t="shared" ca="1" si="96"/>
        <v>100000</v>
      </c>
      <c r="AD83" s="95" t="s">
        <v>958</v>
      </c>
      <c r="AE83" s="95" t="str">
        <f t="shared" ca="1" si="97"/>
        <v/>
      </c>
      <c r="AF83" s="95">
        <f t="shared" ca="1" si="98"/>
        <v>100000</v>
      </c>
      <c r="AG83" s="95" t="str">
        <f t="shared" ca="1" si="99"/>
        <v xml:space="preserve"> </v>
      </c>
      <c r="AH83" s="95" t="e">
        <f t="shared" ca="1" si="100"/>
        <v>#N/A</v>
      </c>
      <c r="AY83" s="55" t="s">
        <v>832</v>
      </c>
      <c r="AZ83" s="219">
        <v>44601</v>
      </c>
    </row>
    <row r="84" spans="1:52" x14ac:dyDescent="0.2">
      <c r="A84" s="45" t="s">
        <v>155</v>
      </c>
      <c r="B84" s="89" t="s">
        <v>341</v>
      </c>
      <c r="C84" s="90">
        <v>84</v>
      </c>
      <c r="D84" s="91" t="str">
        <f t="shared" si="119"/>
        <v>SW8</v>
      </c>
      <c r="E84" s="91" t="str">
        <f t="shared" si="115"/>
        <v/>
      </c>
      <c r="F84" s="91" t="str">
        <f t="shared" si="116"/>
        <v/>
      </c>
      <c r="G84" s="91">
        <v>32</v>
      </c>
      <c r="H84" s="91">
        <v>16</v>
      </c>
      <c r="I84" s="91">
        <v>8</v>
      </c>
      <c r="J84" s="127" t="str">
        <f t="shared" si="92"/>
        <v>SW8</v>
      </c>
      <c r="K84" s="128">
        <f t="shared" ref="K84:Y84" ca="1" si="121">IF(K4="","",K$82-1+K4)</f>
        <v>4</v>
      </c>
      <c r="L84" s="127">
        <f t="shared" ca="1" si="121"/>
        <v>3</v>
      </c>
      <c r="M84" s="127">
        <f t="shared" ca="1" si="121"/>
        <v>3</v>
      </c>
      <c r="N84" s="127">
        <f t="shared" ca="1" si="121"/>
        <v>3</v>
      </c>
      <c r="O84" s="127">
        <f t="shared" ca="1" si="121"/>
        <v>3</v>
      </c>
      <c r="P84" s="127">
        <f t="shared" ca="1" si="121"/>
        <v>3</v>
      </c>
      <c r="Q84" s="127">
        <f t="shared" ca="1" si="121"/>
        <v>3</v>
      </c>
      <c r="R84" s="127">
        <f t="shared" ca="1" si="121"/>
        <v>3</v>
      </c>
      <c r="S84" s="127">
        <f t="shared" ca="1" si="121"/>
        <v>3</v>
      </c>
      <c r="T84" s="127" t="str">
        <f t="shared" si="121"/>
        <v/>
      </c>
      <c r="U84" s="127" t="str">
        <f t="shared" si="121"/>
        <v/>
      </c>
      <c r="V84" s="127" t="str">
        <f t="shared" si="94"/>
        <v>SW8</v>
      </c>
      <c r="W84" s="128">
        <f t="shared" ca="1" si="121"/>
        <v>3</v>
      </c>
      <c r="X84" s="129" t="str">
        <f t="shared" si="121"/>
        <v/>
      </c>
      <c r="Y84" s="129" t="str">
        <f t="shared" si="121"/>
        <v/>
      </c>
      <c r="Z84" s="127">
        <v>0</v>
      </c>
      <c r="AA84" s="91" t="str">
        <f t="shared" si="118"/>
        <v>SM3</v>
      </c>
      <c r="AB84" s="91">
        <v>83</v>
      </c>
      <c r="AC84" s="95">
        <f t="shared" ca="1" si="96"/>
        <v>100000</v>
      </c>
      <c r="AD84" s="95" t="s">
        <v>959</v>
      </c>
      <c r="AE84" s="95" t="str">
        <f t="shared" ca="1" si="97"/>
        <v/>
      </c>
      <c r="AF84" s="95">
        <f t="shared" ca="1" si="98"/>
        <v>100000</v>
      </c>
      <c r="AG84" s="95" t="str">
        <f t="shared" ca="1" si="99"/>
        <v xml:space="preserve"> </v>
      </c>
      <c r="AH84" s="95" t="e">
        <f t="shared" ca="1" si="100"/>
        <v>#N/A</v>
      </c>
      <c r="AY84" s="55" t="s">
        <v>833</v>
      </c>
      <c r="AZ84" s="219">
        <v>44608</v>
      </c>
    </row>
    <row r="85" spans="1:52" x14ac:dyDescent="0.2">
      <c r="A85" s="45" t="s">
        <v>147</v>
      </c>
      <c r="B85" s="89" t="s">
        <v>333</v>
      </c>
      <c r="C85" s="90">
        <v>85</v>
      </c>
      <c r="D85" s="91" t="str">
        <f t="shared" si="119"/>
        <v>SW9</v>
      </c>
      <c r="E85" s="91" t="str">
        <f t="shared" si="115"/>
        <v/>
      </c>
      <c r="F85" s="91" t="str">
        <f t="shared" si="116"/>
        <v/>
      </c>
      <c r="G85" s="91">
        <v>32</v>
      </c>
      <c r="H85" s="91">
        <v>16</v>
      </c>
      <c r="I85" s="91">
        <v>9</v>
      </c>
      <c r="J85" s="127" t="str">
        <f t="shared" si="92"/>
        <v>SW9</v>
      </c>
      <c r="K85" s="128">
        <f t="shared" ref="K85:Y85" ca="1" si="122">IF(K5="","",K$82-1+K5)</f>
        <v>5</v>
      </c>
      <c r="L85" s="127">
        <f t="shared" ca="1" si="122"/>
        <v>4</v>
      </c>
      <c r="M85" s="127">
        <f t="shared" ca="1" si="122"/>
        <v>4</v>
      </c>
      <c r="N85" s="127">
        <f t="shared" ca="1" si="122"/>
        <v>4</v>
      </c>
      <c r="O85" s="127">
        <f t="shared" ca="1" si="122"/>
        <v>4</v>
      </c>
      <c r="P85" s="127">
        <f t="shared" ca="1" si="122"/>
        <v>4</v>
      </c>
      <c r="Q85" s="127">
        <f t="shared" ca="1" si="122"/>
        <v>4</v>
      </c>
      <c r="R85" s="127">
        <f t="shared" ca="1" si="122"/>
        <v>4</v>
      </c>
      <c r="S85" s="127" t="str">
        <f t="shared" si="122"/>
        <v/>
      </c>
      <c r="T85" s="127" t="str">
        <f t="shared" si="122"/>
        <v/>
      </c>
      <c r="U85" s="127" t="str">
        <f t="shared" si="122"/>
        <v/>
      </c>
      <c r="V85" s="127" t="str">
        <f t="shared" si="94"/>
        <v>SW9</v>
      </c>
      <c r="W85" s="128">
        <f t="shared" ca="1" si="122"/>
        <v>3</v>
      </c>
      <c r="X85" s="129" t="str">
        <f t="shared" si="122"/>
        <v/>
      </c>
      <c r="Y85" s="129" t="str">
        <f t="shared" si="122"/>
        <v/>
      </c>
      <c r="Z85" s="127">
        <v>0</v>
      </c>
      <c r="AA85" s="91" t="str">
        <f t="shared" si="118"/>
        <v>SM4</v>
      </c>
      <c r="AB85" s="91">
        <v>84</v>
      </c>
      <c r="AC85" s="95">
        <f t="shared" ca="1" si="96"/>
        <v>100000</v>
      </c>
      <c r="AD85" s="95" t="s">
        <v>960</v>
      </c>
      <c r="AE85" s="95" t="str">
        <f t="shared" ca="1" si="97"/>
        <v/>
      </c>
      <c r="AF85" s="95">
        <f t="shared" ca="1" si="98"/>
        <v>100000</v>
      </c>
      <c r="AG85" s="95" t="str">
        <f t="shared" ca="1" si="99"/>
        <v xml:space="preserve"> </v>
      </c>
      <c r="AH85" s="95" t="e">
        <f t="shared" ca="1" si="100"/>
        <v>#N/A</v>
      </c>
      <c r="AY85" s="55" t="s">
        <v>834</v>
      </c>
      <c r="AZ85" s="219">
        <v>44615</v>
      </c>
    </row>
    <row r="86" spans="1:52" x14ac:dyDescent="0.2">
      <c r="A86" s="45" t="s">
        <v>157</v>
      </c>
      <c r="B86" s="89" t="s">
        <v>343</v>
      </c>
      <c r="C86" s="90">
        <v>86</v>
      </c>
      <c r="D86" s="91" t="str">
        <f t="shared" si="119"/>
        <v>SW4</v>
      </c>
      <c r="E86" s="91" t="str">
        <f t="shared" si="115"/>
        <v/>
      </c>
      <c r="F86" s="91" t="str">
        <f t="shared" si="116"/>
        <v/>
      </c>
      <c r="G86" s="91">
        <v>33</v>
      </c>
      <c r="H86" s="91">
        <v>16</v>
      </c>
      <c r="I86" s="91">
        <v>4</v>
      </c>
      <c r="J86" s="127" t="str">
        <f t="shared" si="92"/>
        <v>SW4</v>
      </c>
      <c r="K86" s="128">
        <f t="shared" ref="K86:Y86" ca="1" si="123">IF(K6="","",K$82-1+K6)</f>
        <v>6</v>
      </c>
      <c r="L86" s="127">
        <f t="shared" ca="1" si="123"/>
        <v>5</v>
      </c>
      <c r="M86" s="127">
        <f t="shared" ca="1" si="123"/>
        <v>5</v>
      </c>
      <c r="N86" s="127">
        <f t="shared" ca="1" si="123"/>
        <v>5</v>
      </c>
      <c r="O86" s="127">
        <f t="shared" ca="1" si="123"/>
        <v>5</v>
      </c>
      <c r="P86" s="127">
        <f t="shared" ca="1" si="123"/>
        <v>5</v>
      </c>
      <c r="Q86" s="127">
        <f t="shared" ca="1" si="123"/>
        <v>5</v>
      </c>
      <c r="R86" s="127">
        <f t="shared" ca="1" si="123"/>
        <v>5</v>
      </c>
      <c r="S86" s="127">
        <f t="shared" ca="1" si="123"/>
        <v>4</v>
      </c>
      <c r="T86" s="127">
        <f t="shared" ca="1" si="123"/>
        <v>3</v>
      </c>
      <c r="U86" s="127">
        <f t="shared" ca="1" si="123"/>
        <v>3</v>
      </c>
      <c r="V86" s="127" t="str">
        <f t="shared" si="94"/>
        <v>SW4</v>
      </c>
      <c r="W86" s="128">
        <f t="shared" ca="1" si="123"/>
        <v>4</v>
      </c>
      <c r="X86" s="129">
        <f t="shared" ca="1" si="123"/>
        <v>3</v>
      </c>
      <c r="Y86" s="129">
        <f t="shared" ca="1" si="123"/>
        <v>3</v>
      </c>
      <c r="Z86" s="127">
        <v>0</v>
      </c>
      <c r="AA86" s="91" t="str">
        <f t="shared" si="118"/>
        <v>SM5</v>
      </c>
      <c r="AB86" s="91">
        <v>85</v>
      </c>
      <c r="AC86" s="95">
        <f t="shared" ca="1" si="96"/>
        <v>100000</v>
      </c>
      <c r="AD86" s="95" t="s">
        <v>961</v>
      </c>
      <c r="AE86" s="95" t="str">
        <f t="shared" ca="1" si="97"/>
        <v/>
      </c>
      <c r="AF86" s="95">
        <f t="shared" ca="1" si="98"/>
        <v>100000</v>
      </c>
      <c r="AG86" s="95" t="str">
        <f t="shared" ca="1" si="99"/>
        <v xml:space="preserve"> </v>
      </c>
      <c r="AH86" s="95" t="e">
        <f t="shared" ca="1" si="100"/>
        <v>#N/A</v>
      </c>
      <c r="AY86" s="55" t="s">
        <v>835</v>
      </c>
      <c r="AZ86" s="219">
        <v>44622</v>
      </c>
    </row>
    <row r="87" spans="1:52" x14ac:dyDescent="0.2">
      <c r="A87" s="45" t="s">
        <v>158</v>
      </c>
      <c r="B87" s="89" t="s">
        <v>344</v>
      </c>
      <c r="C87" s="90">
        <v>87</v>
      </c>
      <c r="D87" s="91" t="str">
        <f t="shared" si="119"/>
        <v>SW13</v>
      </c>
      <c r="E87" s="91" t="str">
        <f t="shared" si="115"/>
        <v/>
      </c>
      <c r="F87" s="91" t="str">
        <f t="shared" si="116"/>
        <v/>
      </c>
      <c r="G87" s="91">
        <v>33</v>
      </c>
      <c r="H87" s="91">
        <v>16</v>
      </c>
      <c r="I87" s="91">
        <v>13</v>
      </c>
      <c r="J87" s="127" t="str">
        <f t="shared" si="92"/>
        <v>SW13</v>
      </c>
      <c r="K87" s="128">
        <f t="shared" ref="K87:Y87" ca="1" si="124">IF(K7="","",K$82-1+K7)</f>
        <v>7</v>
      </c>
      <c r="L87" s="127">
        <f t="shared" ca="1" si="124"/>
        <v>6</v>
      </c>
      <c r="M87" s="127">
        <f t="shared" ca="1" si="124"/>
        <v>6</v>
      </c>
      <c r="N87" s="127">
        <f t="shared" ca="1" si="124"/>
        <v>6</v>
      </c>
      <c r="O87" s="127" t="str">
        <f t="shared" si="124"/>
        <v/>
      </c>
      <c r="P87" s="127" t="str">
        <f t="shared" si="124"/>
        <v/>
      </c>
      <c r="Q87" s="127" t="str">
        <f t="shared" si="124"/>
        <v/>
      </c>
      <c r="R87" s="127" t="str">
        <f t="shared" si="124"/>
        <v/>
      </c>
      <c r="S87" s="127" t="str">
        <f t="shared" si="124"/>
        <v/>
      </c>
      <c r="T87" s="127" t="str">
        <f t="shared" si="124"/>
        <v/>
      </c>
      <c r="U87" s="127" t="str">
        <f t="shared" si="124"/>
        <v/>
      </c>
      <c r="V87" s="127" t="str">
        <f t="shared" si="94"/>
        <v>SW13</v>
      </c>
      <c r="W87" s="128">
        <f t="shared" ca="1" si="124"/>
        <v>4</v>
      </c>
      <c r="X87" s="129">
        <f t="shared" ca="1" si="124"/>
        <v>3</v>
      </c>
      <c r="Y87" s="129">
        <f t="shared" ca="1" si="124"/>
        <v>3</v>
      </c>
      <c r="Z87" s="127">
        <v>0</v>
      </c>
      <c r="AA87" s="91" t="str">
        <f t="shared" si="118"/>
        <v>SM6</v>
      </c>
      <c r="AB87" s="91">
        <v>86</v>
      </c>
      <c r="AC87" s="95">
        <f t="shared" ca="1" si="96"/>
        <v>100000</v>
      </c>
      <c r="AD87" s="95" t="s">
        <v>962</v>
      </c>
      <c r="AE87" s="95" t="str">
        <f t="shared" ca="1" si="97"/>
        <v/>
      </c>
      <c r="AF87" s="95">
        <f t="shared" ca="1" si="98"/>
        <v>100000</v>
      </c>
      <c r="AG87" s="95" t="str">
        <f t="shared" ca="1" si="99"/>
        <v xml:space="preserve"> </v>
      </c>
      <c r="AH87" s="95" t="e">
        <f t="shared" ca="1" si="100"/>
        <v>#N/A</v>
      </c>
      <c r="AY87" s="55" t="s">
        <v>836</v>
      </c>
      <c r="AZ87" s="219">
        <v>44629</v>
      </c>
    </row>
    <row r="88" spans="1:52" x14ac:dyDescent="0.2">
      <c r="A88" s="45" t="s">
        <v>159</v>
      </c>
      <c r="B88" s="89" t="s">
        <v>345</v>
      </c>
      <c r="C88" s="90">
        <v>88</v>
      </c>
      <c r="D88" s="91" t="str">
        <f t="shared" si="119"/>
        <v>SW5</v>
      </c>
      <c r="E88" s="91" t="str">
        <f t="shared" si="115"/>
        <v/>
      </c>
      <c r="F88" s="91" t="str">
        <f t="shared" si="116"/>
        <v/>
      </c>
      <c r="G88" s="91">
        <v>33</v>
      </c>
      <c r="H88" s="91">
        <v>16</v>
      </c>
      <c r="I88" s="91">
        <v>5</v>
      </c>
      <c r="J88" s="127" t="str">
        <f t="shared" si="92"/>
        <v>SW5</v>
      </c>
      <c r="K88" s="128">
        <f t="shared" ref="K88:Y88" ca="1" si="125">IF(K8="","",K$82-1+K8)</f>
        <v>8</v>
      </c>
      <c r="L88" s="127">
        <f t="shared" ca="1" si="125"/>
        <v>7</v>
      </c>
      <c r="M88" s="127">
        <f t="shared" ca="1" si="125"/>
        <v>7</v>
      </c>
      <c r="N88" s="127">
        <f t="shared" ca="1" si="125"/>
        <v>7</v>
      </c>
      <c r="O88" s="127">
        <f t="shared" ca="1" si="125"/>
        <v>6</v>
      </c>
      <c r="P88" s="127">
        <f t="shared" ca="1" si="125"/>
        <v>6</v>
      </c>
      <c r="Q88" s="127">
        <f t="shared" ca="1" si="125"/>
        <v>6</v>
      </c>
      <c r="R88" s="127">
        <f t="shared" ca="1" si="125"/>
        <v>6</v>
      </c>
      <c r="S88" s="127">
        <f t="shared" ca="1" si="125"/>
        <v>5</v>
      </c>
      <c r="T88" s="127">
        <f t="shared" ca="1" si="125"/>
        <v>4</v>
      </c>
      <c r="U88" s="127">
        <f t="shared" ca="1" si="125"/>
        <v>4</v>
      </c>
      <c r="V88" s="127" t="str">
        <f t="shared" si="94"/>
        <v>SW5</v>
      </c>
      <c r="W88" s="128">
        <f t="shared" ca="1" si="125"/>
        <v>5</v>
      </c>
      <c r="X88" s="129">
        <f t="shared" ca="1" si="125"/>
        <v>4</v>
      </c>
      <c r="Y88" s="129">
        <f t="shared" ca="1" si="125"/>
        <v>4</v>
      </c>
      <c r="Z88" s="127">
        <v>0</v>
      </c>
      <c r="AA88" s="91" t="str">
        <f t="shared" si="118"/>
        <v>SM7</v>
      </c>
      <c r="AB88" s="91">
        <v>87</v>
      </c>
      <c r="AC88" s="95">
        <f t="shared" ca="1" si="96"/>
        <v>100000</v>
      </c>
      <c r="AD88" s="95" t="s">
        <v>963</v>
      </c>
      <c r="AE88" s="95" t="str">
        <f t="shared" ca="1" si="97"/>
        <v/>
      </c>
      <c r="AF88" s="95">
        <f t="shared" ca="1" si="98"/>
        <v>100000</v>
      </c>
      <c r="AG88" s="95" t="str">
        <f t="shared" ca="1" si="99"/>
        <v xml:space="preserve"> </v>
      </c>
      <c r="AH88" s="95" t="e">
        <f t="shared" ca="1" si="100"/>
        <v>#N/A</v>
      </c>
      <c r="AY88" s="55" t="s">
        <v>837</v>
      </c>
      <c r="AZ88" s="219">
        <v>44636</v>
      </c>
    </row>
    <row r="89" spans="1:52" x14ac:dyDescent="0.2">
      <c r="A89" s="45" t="s">
        <v>43</v>
      </c>
      <c r="B89" s="89" t="s">
        <v>68</v>
      </c>
      <c r="C89" s="90">
        <v>89</v>
      </c>
      <c r="D89" s="91" t="str">
        <f t="shared" si="119"/>
        <v>SW12</v>
      </c>
      <c r="E89" s="91" t="str">
        <f t="shared" si="115"/>
        <v/>
      </c>
      <c r="F89" s="91" t="str">
        <f t="shared" si="116"/>
        <v/>
      </c>
      <c r="G89" s="91">
        <v>33</v>
      </c>
      <c r="H89" s="91">
        <v>16</v>
      </c>
      <c r="I89" s="91">
        <v>12</v>
      </c>
      <c r="J89" s="127" t="str">
        <f t="shared" si="92"/>
        <v>SW12</v>
      </c>
      <c r="K89" s="128">
        <f t="shared" ref="K89:Y89" ca="1" si="126">IF(K9="","",K$82-1+K9)</f>
        <v>9</v>
      </c>
      <c r="L89" s="127">
        <f t="shared" ca="1" si="126"/>
        <v>8</v>
      </c>
      <c r="M89" s="127">
        <f t="shared" ca="1" si="126"/>
        <v>8</v>
      </c>
      <c r="N89" s="127">
        <f t="shared" ca="1" si="126"/>
        <v>8</v>
      </c>
      <c r="O89" s="127">
        <f t="shared" ca="1" si="126"/>
        <v>7</v>
      </c>
      <c r="P89" s="127" t="str">
        <f t="shared" si="126"/>
        <v/>
      </c>
      <c r="Q89" s="127" t="str">
        <f t="shared" si="126"/>
        <v/>
      </c>
      <c r="R89" s="127" t="str">
        <f t="shared" si="126"/>
        <v/>
      </c>
      <c r="S89" s="127" t="str">
        <f t="shared" si="126"/>
        <v/>
      </c>
      <c r="T89" s="127" t="str">
        <f t="shared" si="126"/>
        <v/>
      </c>
      <c r="U89" s="127" t="str">
        <f t="shared" si="126"/>
        <v/>
      </c>
      <c r="V89" s="127" t="str">
        <f t="shared" si="94"/>
        <v>SW12</v>
      </c>
      <c r="W89" s="128">
        <f t="shared" ca="1" si="126"/>
        <v>5</v>
      </c>
      <c r="X89" s="129">
        <f t="shared" ca="1" si="126"/>
        <v>4</v>
      </c>
      <c r="Y89" s="129">
        <f t="shared" ca="1" si="126"/>
        <v>4</v>
      </c>
      <c r="Z89" s="127">
        <v>0</v>
      </c>
      <c r="AA89" s="91" t="str">
        <f t="shared" si="118"/>
        <v>SM8</v>
      </c>
      <c r="AB89" s="91">
        <v>88</v>
      </c>
      <c r="AC89" s="95">
        <f t="shared" ca="1" si="96"/>
        <v>100000</v>
      </c>
      <c r="AD89" s="95" t="s">
        <v>964</v>
      </c>
      <c r="AE89" s="95" t="str">
        <f t="shared" ca="1" si="97"/>
        <v/>
      </c>
      <c r="AF89" s="95">
        <f t="shared" ca="1" si="98"/>
        <v>100000</v>
      </c>
      <c r="AG89" s="95" t="str">
        <f t="shared" ca="1" si="99"/>
        <v xml:space="preserve"> </v>
      </c>
      <c r="AH89" s="95" t="e">
        <f t="shared" ca="1" si="100"/>
        <v>#N/A</v>
      </c>
      <c r="AY89" s="55" t="s">
        <v>838</v>
      </c>
      <c r="AZ89" s="219">
        <v>44643</v>
      </c>
    </row>
    <row r="90" spans="1:52" x14ac:dyDescent="0.2">
      <c r="A90" s="45" t="s">
        <v>16</v>
      </c>
      <c r="B90" s="89" t="s">
        <v>69</v>
      </c>
      <c r="C90" s="90">
        <v>90</v>
      </c>
      <c r="D90" s="91" t="str">
        <f t="shared" si="119"/>
        <v>SW2</v>
      </c>
      <c r="E90" s="91" t="str">
        <f t="shared" si="115"/>
        <v/>
      </c>
      <c r="F90" s="91" t="str">
        <f t="shared" si="116"/>
        <v/>
      </c>
      <c r="G90" s="91">
        <v>35</v>
      </c>
      <c r="H90" s="91">
        <v>17</v>
      </c>
      <c r="I90" s="91">
        <v>2</v>
      </c>
      <c r="J90" s="127" t="str">
        <f t="shared" si="92"/>
        <v>SW2</v>
      </c>
      <c r="K90" s="128">
        <f t="shared" ref="K90:Y90" ca="1" si="127">IF(K10="","",K$82-1+K10)</f>
        <v>10</v>
      </c>
      <c r="L90" s="127">
        <f t="shared" ca="1" si="127"/>
        <v>9</v>
      </c>
      <c r="M90" s="127">
        <f t="shared" ca="1" si="127"/>
        <v>9</v>
      </c>
      <c r="N90" s="127">
        <f t="shared" ca="1" si="127"/>
        <v>9</v>
      </c>
      <c r="O90" s="127">
        <f t="shared" ca="1" si="127"/>
        <v>8</v>
      </c>
      <c r="P90" s="127">
        <f t="shared" ca="1" si="127"/>
        <v>7</v>
      </c>
      <c r="Q90" s="127">
        <f t="shared" ca="1" si="127"/>
        <v>7</v>
      </c>
      <c r="R90" s="127">
        <f t="shared" ca="1" si="127"/>
        <v>7</v>
      </c>
      <c r="S90" s="127">
        <f t="shared" ca="1" si="127"/>
        <v>6</v>
      </c>
      <c r="T90" s="127">
        <f t="shared" ca="1" si="127"/>
        <v>5</v>
      </c>
      <c r="U90" s="127">
        <f t="shared" ca="1" si="127"/>
        <v>5</v>
      </c>
      <c r="V90" s="127" t="str">
        <f t="shared" si="94"/>
        <v>SW2</v>
      </c>
      <c r="W90" s="128">
        <f t="shared" ca="1" si="127"/>
        <v>6</v>
      </c>
      <c r="X90" s="129">
        <f t="shared" ca="1" si="127"/>
        <v>5</v>
      </c>
      <c r="Y90" s="129">
        <f t="shared" ca="1" si="127"/>
        <v>5</v>
      </c>
      <c r="Z90" s="127">
        <v>0</v>
      </c>
      <c r="AA90" s="91" t="str">
        <f t="shared" si="118"/>
        <v>SM9</v>
      </c>
      <c r="AB90" s="91">
        <v>89</v>
      </c>
      <c r="AC90" s="95">
        <f t="shared" ca="1" si="96"/>
        <v>100000</v>
      </c>
      <c r="AD90" s="95" t="s">
        <v>965</v>
      </c>
      <c r="AE90" s="95" t="str">
        <f t="shared" ca="1" si="97"/>
        <v/>
      </c>
      <c r="AF90" s="95">
        <f t="shared" ca="1" si="98"/>
        <v>100000</v>
      </c>
      <c r="AG90" s="95" t="str">
        <f t="shared" ca="1" si="99"/>
        <v xml:space="preserve"> </v>
      </c>
      <c r="AH90" s="95" t="e">
        <f t="shared" ca="1" si="100"/>
        <v>#N/A</v>
      </c>
      <c r="AY90" s="55" t="s">
        <v>839</v>
      </c>
      <c r="AZ90" s="219">
        <v>44650</v>
      </c>
    </row>
    <row r="91" spans="1:52" x14ac:dyDescent="0.2">
      <c r="A91" s="45" t="s">
        <v>163</v>
      </c>
      <c r="B91" s="89" t="s">
        <v>349</v>
      </c>
      <c r="C91" s="90">
        <v>91</v>
      </c>
      <c r="D91" s="91" t="str">
        <f t="shared" si="119"/>
        <v>SW15</v>
      </c>
      <c r="E91" s="91" t="str">
        <f t="shared" si="115"/>
        <v/>
      </c>
      <c r="F91" s="91" t="str">
        <f t="shared" si="116"/>
        <v/>
      </c>
      <c r="G91" s="91">
        <v>35</v>
      </c>
      <c r="H91" s="91">
        <v>17</v>
      </c>
      <c r="I91" s="91">
        <v>15</v>
      </c>
      <c r="J91" s="127" t="str">
        <f t="shared" si="92"/>
        <v>SW15</v>
      </c>
      <c r="K91" s="128">
        <f t="shared" ref="K91:Y91" ca="1" si="128">IF(K11="","",K$82-1+K11)</f>
        <v>11</v>
      </c>
      <c r="L91" s="127">
        <f t="shared" ca="1" si="128"/>
        <v>10</v>
      </c>
      <c r="M91" s="127" t="str">
        <f t="shared" si="128"/>
        <v/>
      </c>
      <c r="N91" s="127" t="str">
        <f t="shared" si="128"/>
        <v/>
      </c>
      <c r="O91" s="127" t="str">
        <f t="shared" si="128"/>
        <v/>
      </c>
      <c r="P91" s="127" t="str">
        <f t="shared" si="128"/>
        <v/>
      </c>
      <c r="Q91" s="127" t="str">
        <f t="shared" si="128"/>
        <v/>
      </c>
      <c r="R91" s="127" t="str">
        <f t="shared" si="128"/>
        <v/>
      </c>
      <c r="S91" s="127" t="str">
        <f t="shared" si="128"/>
        <v/>
      </c>
      <c r="T91" s="127" t="str">
        <f t="shared" si="128"/>
        <v/>
      </c>
      <c r="U91" s="127" t="str">
        <f t="shared" si="128"/>
        <v/>
      </c>
      <c r="V91" s="127" t="str">
        <f t="shared" si="94"/>
        <v>SW15</v>
      </c>
      <c r="W91" s="128">
        <f t="shared" ca="1" si="128"/>
        <v>6</v>
      </c>
      <c r="X91" s="129">
        <f t="shared" ca="1" si="128"/>
        <v>5</v>
      </c>
      <c r="Y91" s="129">
        <f t="shared" ca="1" si="128"/>
        <v>5</v>
      </c>
      <c r="Z91" s="127">
        <v>0</v>
      </c>
      <c r="AA91" s="91" t="str">
        <f t="shared" si="118"/>
        <v>SM10</v>
      </c>
      <c r="AB91" s="91">
        <v>90</v>
      </c>
      <c r="AC91" s="95">
        <f t="shared" ca="1" si="96"/>
        <v>100000</v>
      </c>
      <c r="AD91" s="95" t="s">
        <v>966</v>
      </c>
      <c r="AE91" s="95" t="str">
        <f t="shared" ca="1" si="97"/>
        <v/>
      </c>
      <c r="AF91" s="95">
        <f t="shared" ca="1" si="98"/>
        <v>100000</v>
      </c>
      <c r="AG91" s="95" t="str">
        <f t="shared" ca="1" si="99"/>
        <v xml:space="preserve"> </v>
      </c>
      <c r="AH91" s="95" t="e">
        <f t="shared" ca="1" si="100"/>
        <v>#N/A</v>
      </c>
      <c r="AY91" s="55" t="s">
        <v>840</v>
      </c>
      <c r="AZ91" s="219">
        <v>44657</v>
      </c>
    </row>
    <row r="92" spans="1:52" x14ac:dyDescent="0.2">
      <c r="A92" s="45" t="s">
        <v>44</v>
      </c>
      <c r="B92" s="89" t="s">
        <v>70</v>
      </c>
      <c r="C92" s="90">
        <v>92</v>
      </c>
      <c r="D92" s="91" t="str">
        <f t="shared" si="119"/>
        <v>SW7</v>
      </c>
      <c r="E92" s="91" t="str">
        <f t="shared" si="115"/>
        <v/>
      </c>
      <c r="F92" s="91" t="str">
        <f t="shared" si="116"/>
        <v/>
      </c>
      <c r="G92" s="91">
        <v>35</v>
      </c>
      <c r="H92" s="91">
        <v>17</v>
      </c>
      <c r="I92" s="91">
        <v>7</v>
      </c>
      <c r="J92" s="127" t="str">
        <f t="shared" si="92"/>
        <v>SW7</v>
      </c>
      <c r="K92" s="128">
        <f t="shared" ref="K92:Y92" ca="1" si="129">IF(K12="","",K$82-1+K12)</f>
        <v>12</v>
      </c>
      <c r="L92" s="127">
        <f t="shared" ca="1" si="129"/>
        <v>11</v>
      </c>
      <c r="M92" s="127">
        <f t="shared" ca="1" si="129"/>
        <v>10</v>
      </c>
      <c r="N92" s="127">
        <f t="shared" ca="1" si="129"/>
        <v>10</v>
      </c>
      <c r="O92" s="127">
        <f t="shared" ca="1" si="129"/>
        <v>9</v>
      </c>
      <c r="P92" s="127">
        <f t="shared" ca="1" si="129"/>
        <v>8</v>
      </c>
      <c r="Q92" s="127">
        <f t="shared" ca="1" si="129"/>
        <v>8</v>
      </c>
      <c r="R92" s="127">
        <f t="shared" ca="1" si="129"/>
        <v>8</v>
      </c>
      <c r="S92" s="127">
        <f t="shared" ca="1" si="129"/>
        <v>7</v>
      </c>
      <c r="T92" s="127">
        <f t="shared" ca="1" si="129"/>
        <v>6</v>
      </c>
      <c r="U92" s="127" t="str">
        <f t="shared" si="129"/>
        <v/>
      </c>
      <c r="V92" s="127" t="str">
        <f t="shared" si="94"/>
        <v>SW7</v>
      </c>
      <c r="W92" s="128">
        <f t="shared" ca="1" si="129"/>
        <v>7</v>
      </c>
      <c r="X92" s="129">
        <f t="shared" ca="1" si="129"/>
        <v>6</v>
      </c>
      <c r="Y92" s="129" t="str">
        <f t="shared" si="129"/>
        <v/>
      </c>
      <c r="Z92" s="127">
        <v>0</v>
      </c>
      <c r="AA92" s="91" t="str">
        <f t="shared" si="118"/>
        <v>SM11</v>
      </c>
      <c r="AB92" s="91">
        <v>91</v>
      </c>
      <c r="AC92" s="95">
        <f t="shared" ca="1" si="96"/>
        <v>100000</v>
      </c>
      <c r="AD92" s="95" t="s">
        <v>967</v>
      </c>
      <c r="AE92" s="95" t="str">
        <f t="shared" ca="1" si="97"/>
        <v/>
      </c>
      <c r="AF92" s="95">
        <f t="shared" ca="1" si="98"/>
        <v>100000</v>
      </c>
      <c r="AG92" s="95" t="str">
        <f t="shared" ca="1" si="99"/>
        <v xml:space="preserve"> </v>
      </c>
      <c r="AH92" s="95" t="e">
        <f t="shared" ca="1" si="100"/>
        <v>#N/A</v>
      </c>
      <c r="AY92" s="55" t="s">
        <v>841</v>
      </c>
      <c r="AZ92" s="219">
        <v>44664</v>
      </c>
    </row>
    <row r="93" spans="1:52" x14ac:dyDescent="0.2">
      <c r="A93" s="45" t="s">
        <v>160</v>
      </c>
      <c r="B93" s="89" t="s">
        <v>346</v>
      </c>
      <c r="C93" s="90">
        <v>93</v>
      </c>
      <c r="D93" s="91" t="str">
        <f t="shared" si="119"/>
        <v>SW10</v>
      </c>
      <c r="E93" s="91" t="str">
        <f t="shared" si="115"/>
        <v/>
      </c>
      <c r="F93" s="91" t="str">
        <f t="shared" si="116"/>
        <v/>
      </c>
      <c r="G93" s="91">
        <v>35</v>
      </c>
      <c r="H93" s="91">
        <v>17</v>
      </c>
      <c r="I93" s="91">
        <v>10</v>
      </c>
      <c r="J93" s="127" t="str">
        <f t="shared" si="92"/>
        <v>SW10</v>
      </c>
      <c r="K93" s="128">
        <f t="shared" ref="K93:Y93" ca="1" si="130">IF(K13="","",K$82-1+K13)</f>
        <v>13</v>
      </c>
      <c r="L93" s="127">
        <f t="shared" ca="1" si="130"/>
        <v>12</v>
      </c>
      <c r="M93" s="127">
        <f t="shared" ca="1" si="130"/>
        <v>11</v>
      </c>
      <c r="N93" s="127">
        <f t="shared" ca="1" si="130"/>
        <v>11</v>
      </c>
      <c r="O93" s="127">
        <f t="shared" ca="1" si="130"/>
        <v>10</v>
      </c>
      <c r="P93" s="127">
        <f t="shared" ca="1" si="130"/>
        <v>9</v>
      </c>
      <c r="Q93" s="127">
        <f t="shared" ca="1" si="130"/>
        <v>9</v>
      </c>
      <c r="R93" s="127" t="str">
        <f t="shared" si="130"/>
        <v/>
      </c>
      <c r="S93" s="127" t="str">
        <f t="shared" si="130"/>
        <v/>
      </c>
      <c r="T93" s="127" t="str">
        <f t="shared" si="130"/>
        <v/>
      </c>
      <c r="U93" s="127" t="str">
        <f t="shared" si="130"/>
        <v/>
      </c>
      <c r="V93" s="127" t="str">
        <f t="shared" si="94"/>
        <v>SW10</v>
      </c>
      <c r="W93" s="128">
        <f ca="1">IF(W13="","",W$82-1+W13)</f>
        <v>7</v>
      </c>
      <c r="X93" s="129">
        <f t="shared" ca="1" si="130"/>
        <v>6</v>
      </c>
      <c r="Y93" s="129" t="str">
        <f t="shared" si="130"/>
        <v/>
      </c>
      <c r="Z93" s="127">
        <v>0</v>
      </c>
      <c r="AA93" s="91" t="str">
        <f t="shared" si="118"/>
        <v>SM12</v>
      </c>
      <c r="AB93" s="91">
        <v>92</v>
      </c>
      <c r="AC93" s="95">
        <f t="shared" ca="1" si="96"/>
        <v>100000</v>
      </c>
      <c r="AD93" s="95" t="s">
        <v>968</v>
      </c>
      <c r="AE93" s="95" t="str">
        <f t="shared" ca="1" si="97"/>
        <v/>
      </c>
      <c r="AF93" s="95">
        <f t="shared" ca="1" si="98"/>
        <v>100000</v>
      </c>
      <c r="AG93" s="95" t="str">
        <f t="shared" ca="1" si="99"/>
        <v xml:space="preserve"> </v>
      </c>
      <c r="AH93" s="95" t="e">
        <f t="shared" ca="1" si="100"/>
        <v>#N/A</v>
      </c>
      <c r="AY93" s="55" t="s">
        <v>842</v>
      </c>
      <c r="AZ93" s="219">
        <v>44671</v>
      </c>
    </row>
    <row r="94" spans="1:52" x14ac:dyDescent="0.2">
      <c r="A94" s="45" t="s">
        <v>161</v>
      </c>
      <c r="B94" s="89" t="s">
        <v>347</v>
      </c>
      <c r="C94" s="90">
        <v>94</v>
      </c>
      <c r="D94" s="91" t="str">
        <f t="shared" si="119"/>
        <v>SW3</v>
      </c>
      <c r="E94" s="91" t="str">
        <f t="shared" si="115"/>
        <v/>
      </c>
      <c r="F94" s="91" t="str">
        <f t="shared" si="116"/>
        <v/>
      </c>
      <c r="G94" s="91">
        <v>36</v>
      </c>
      <c r="H94" s="91">
        <v>17</v>
      </c>
      <c r="I94" s="91">
        <v>3</v>
      </c>
      <c r="J94" s="127" t="str">
        <f t="shared" si="92"/>
        <v>SW3</v>
      </c>
      <c r="K94" s="128">
        <f t="shared" ref="K94:Y94" ca="1" si="131">IF(K14="","",K$82-1+K14)</f>
        <v>14</v>
      </c>
      <c r="L94" s="127">
        <f t="shared" ca="1" si="131"/>
        <v>13</v>
      </c>
      <c r="M94" s="127">
        <f t="shared" ca="1" si="131"/>
        <v>12</v>
      </c>
      <c r="N94" s="127">
        <f t="shared" ca="1" si="131"/>
        <v>12</v>
      </c>
      <c r="O94" s="127">
        <f t="shared" ca="1" si="131"/>
        <v>11</v>
      </c>
      <c r="P94" s="127">
        <f t="shared" ca="1" si="131"/>
        <v>10</v>
      </c>
      <c r="Q94" s="127">
        <f t="shared" ca="1" si="131"/>
        <v>10</v>
      </c>
      <c r="R94" s="127">
        <f t="shared" ca="1" si="131"/>
        <v>9</v>
      </c>
      <c r="S94" s="127">
        <f t="shared" ca="1" si="131"/>
        <v>8</v>
      </c>
      <c r="T94" s="127">
        <f t="shared" ca="1" si="131"/>
        <v>7</v>
      </c>
      <c r="U94" s="127">
        <f t="shared" ca="1" si="131"/>
        <v>6</v>
      </c>
      <c r="V94" s="127" t="str">
        <f t="shared" si="94"/>
        <v>SW3</v>
      </c>
      <c r="W94" s="128">
        <f t="shared" ca="1" si="131"/>
        <v>8</v>
      </c>
      <c r="X94" s="129">
        <f t="shared" ca="1" si="131"/>
        <v>7</v>
      </c>
      <c r="Y94" s="129">
        <f t="shared" ca="1" si="131"/>
        <v>6</v>
      </c>
      <c r="Z94" s="127">
        <v>0</v>
      </c>
      <c r="AA94" s="91" t="str">
        <f t="shared" si="118"/>
        <v>SM13</v>
      </c>
      <c r="AB94" s="91">
        <v>93</v>
      </c>
      <c r="AC94" s="95">
        <f t="shared" ca="1" si="96"/>
        <v>100000</v>
      </c>
      <c r="AD94" s="95" t="s">
        <v>969</v>
      </c>
      <c r="AE94" s="95" t="str">
        <f t="shared" ca="1" si="97"/>
        <v/>
      </c>
      <c r="AF94" s="95">
        <f t="shared" ca="1" si="98"/>
        <v>100000</v>
      </c>
      <c r="AG94" s="95" t="str">
        <f t="shared" ca="1" si="99"/>
        <v xml:space="preserve"> </v>
      </c>
      <c r="AH94" s="95" t="e">
        <f t="shared" ca="1" si="100"/>
        <v>#N/A</v>
      </c>
      <c r="AY94" s="55" t="s">
        <v>843</v>
      </c>
      <c r="AZ94" s="219">
        <v>44678</v>
      </c>
    </row>
    <row r="95" spans="1:52" x14ac:dyDescent="0.2">
      <c r="A95" s="45" t="s">
        <v>162</v>
      </c>
      <c r="B95" s="89" t="s">
        <v>348</v>
      </c>
      <c r="C95" s="90">
        <v>95</v>
      </c>
      <c r="D95" s="91" t="str">
        <f t="shared" si="119"/>
        <v>SW14</v>
      </c>
      <c r="E95" s="91" t="str">
        <f t="shared" si="115"/>
        <v/>
      </c>
      <c r="F95" s="91" t="str">
        <f t="shared" si="116"/>
        <v/>
      </c>
      <c r="G95" s="91">
        <v>36</v>
      </c>
      <c r="H95" s="91">
        <v>17</v>
      </c>
      <c r="I95" s="91">
        <v>14</v>
      </c>
      <c r="J95" s="127" t="str">
        <f t="shared" si="92"/>
        <v>SW14</v>
      </c>
      <c r="K95" s="128">
        <f t="shared" ref="K95:Y95" ca="1" si="132">IF(K15="","",K$82-1+K15)</f>
        <v>15</v>
      </c>
      <c r="L95" s="127">
        <f t="shared" ca="1" si="132"/>
        <v>14</v>
      </c>
      <c r="M95" s="127">
        <f t="shared" ca="1" si="132"/>
        <v>13</v>
      </c>
      <c r="N95" s="127" t="str">
        <f t="shared" si="132"/>
        <v/>
      </c>
      <c r="O95" s="127" t="str">
        <f t="shared" si="132"/>
        <v/>
      </c>
      <c r="P95" s="127" t="str">
        <f t="shared" si="132"/>
        <v/>
      </c>
      <c r="Q95" s="127" t="str">
        <f t="shared" si="132"/>
        <v/>
      </c>
      <c r="R95" s="127" t="str">
        <f t="shared" si="132"/>
        <v/>
      </c>
      <c r="S95" s="127" t="str">
        <f t="shared" si="132"/>
        <v/>
      </c>
      <c r="T95" s="127" t="str">
        <f t="shared" si="132"/>
        <v/>
      </c>
      <c r="U95" s="127" t="str">
        <f t="shared" si="132"/>
        <v/>
      </c>
      <c r="V95" s="127" t="str">
        <f t="shared" si="94"/>
        <v>SW14</v>
      </c>
      <c r="W95" s="128">
        <f t="shared" ca="1" si="132"/>
        <v>8</v>
      </c>
      <c r="X95" s="129">
        <f t="shared" ca="1" si="132"/>
        <v>7</v>
      </c>
      <c r="Y95" s="129">
        <f t="shared" ca="1" si="132"/>
        <v>6</v>
      </c>
      <c r="Z95" s="127">
        <v>0</v>
      </c>
      <c r="AA95" s="91" t="str">
        <f t="shared" si="118"/>
        <v>SM14</v>
      </c>
      <c r="AB95" s="91">
        <v>94</v>
      </c>
      <c r="AC95" s="95">
        <f t="shared" ca="1" si="96"/>
        <v>100000</v>
      </c>
      <c r="AD95" s="95" t="s">
        <v>970</v>
      </c>
      <c r="AE95" s="95" t="str">
        <f t="shared" ca="1" si="97"/>
        <v/>
      </c>
      <c r="AF95" s="95">
        <f t="shared" ca="1" si="98"/>
        <v>100000</v>
      </c>
      <c r="AG95" s="95" t="str">
        <f t="shared" ca="1" si="99"/>
        <v xml:space="preserve"> </v>
      </c>
      <c r="AH95" s="95" t="e">
        <f t="shared" ca="1" si="100"/>
        <v>#N/A</v>
      </c>
      <c r="AY95" s="55" t="s">
        <v>844</v>
      </c>
      <c r="AZ95" s="219">
        <v>44685</v>
      </c>
    </row>
    <row r="96" spans="1:52" x14ac:dyDescent="0.2">
      <c r="A96" s="45" t="s">
        <v>45</v>
      </c>
      <c r="B96" s="89" t="s">
        <v>71</v>
      </c>
      <c r="C96" s="90">
        <v>96</v>
      </c>
      <c r="D96" s="91" t="str">
        <f t="shared" si="119"/>
        <v>SW6</v>
      </c>
      <c r="E96" s="91" t="str">
        <f t="shared" si="115"/>
        <v/>
      </c>
      <c r="F96" s="91" t="str">
        <f t="shared" si="116"/>
        <v/>
      </c>
      <c r="G96" s="91">
        <v>36</v>
      </c>
      <c r="H96" s="91">
        <v>17</v>
      </c>
      <c r="I96" s="91">
        <v>6</v>
      </c>
      <c r="J96" s="127" t="str">
        <f t="shared" si="92"/>
        <v>SW6</v>
      </c>
      <c r="K96" s="128">
        <f t="shared" ref="K96:Y96" ca="1" si="133">IF(K16="","",K$82-1+K16)</f>
        <v>16</v>
      </c>
      <c r="L96" s="127">
        <f t="shared" ca="1" si="133"/>
        <v>15</v>
      </c>
      <c r="M96" s="127">
        <f t="shared" ca="1" si="133"/>
        <v>14</v>
      </c>
      <c r="N96" s="127">
        <f t="shared" ca="1" si="133"/>
        <v>13</v>
      </c>
      <c r="O96" s="127">
        <f t="shared" ca="1" si="133"/>
        <v>12</v>
      </c>
      <c r="P96" s="127">
        <f t="shared" ca="1" si="133"/>
        <v>11</v>
      </c>
      <c r="Q96" s="127">
        <f t="shared" ca="1" si="133"/>
        <v>11</v>
      </c>
      <c r="R96" s="127">
        <f t="shared" ca="1" si="133"/>
        <v>10</v>
      </c>
      <c r="S96" s="127">
        <f t="shared" ca="1" si="133"/>
        <v>9</v>
      </c>
      <c r="T96" s="127">
        <f t="shared" ca="1" si="133"/>
        <v>8</v>
      </c>
      <c r="U96" s="127">
        <f t="shared" ca="1" si="133"/>
        <v>7</v>
      </c>
      <c r="V96" s="127" t="str">
        <f t="shared" si="94"/>
        <v>SW6</v>
      </c>
      <c r="W96" s="128">
        <f t="shared" ca="1" si="133"/>
        <v>9</v>
      </c>
      <c r="X96" s="129">
        <f t="shared" ca="1" si="133"/>
        <v>8</v>
      </c>
      <c r="Y96" s="129">
        <f t="shared" ca="1" si="133"/>
        <v>7</v>
      </c>
      <c r="Z96" s="127">
        <v>0</v>
      </c>
      <c r="AA96" s="91" t="str">
        <f t="shared" si="118"/>
        <v>SM15</v>
      </c>
      <c r="AB96" s="91">
        <v>95</v>
      </c>
      <c r="AC96" s="95">
        <f t="shared" ca="1" si="96"/>
        <v>100000</v>
      </c>
      <c r="AD96" s="95" t="s">
        <v>971</v>
      </c>
      <c r="AE96" s="95" t="str">
        <f t="shared" ca="1" si="97"/>
        <v/>
      </c>
      <c r="AF96" s="95">
        <f t="shared" ca="1" si="98"/>
        <v>100000</v>
      </c>
      <c r="AG96" s="95" t="str">
        <f t="shared" ca="1" si="99"/>
        <v xml:space="preserve"> </v>
      </c>
      <c r="AH96" s="95" t="e">
        <f t="shared" ca="1" si="100"/>
        <v>#N/A</v>
      </c>
      <c r="AY96" s="55" t="s">
        <v>845</v>
      </c>
      <c r="AZ96" s="219">
        <v>44692</v>
      </c>
    </row>
    <row r="97" spans="1:52" x14ac:dyDescent="0.2">
      <c r="A97" s="45" t="s">
        <v>46</v>
      </c>
      <c r="B97" s="89" t="s">
        <v>72</v>
      </c>
      <c r="C97" s="90">
        <v>97</v>
      </c>
      <c r="D97" s="91" t="str">
        <f t="shared" si="119"/>
        <v>SW11</v>
      </c>
      <c r="E97" s="91" t="str">
        <f t="shared" si="115"/>
        <v/>
      </c>
      <c r="F97" s="91" t="str">
        <f t="shared" si="116"/>
        <v/>
      </c>
      <c r="G97" s="91">
        <v>36</v>
      </c>
      <c r="H97" s="91">
        <v>17</v>
      </c>
      <c r="I97" s="91">
        <v>11</v>
      </c>
      <c r="J97" s="127" t="str">
        <f t="shared" si="92"/>
        <v>SW11</v>
      </c>
      <c r="K97" s="128">
        <f t="shared" ref="K97:Y97" ca="1" si="134">IF(K17="","",K$82-1+K17)</f>
        <v>17</v>
      </c>
      <c r="L97" s="127">
        <f t="shared" ca="1" si="134"/>
        <v>16</v>
      </c>
      <c r="M97" s="127">
        <f t="shared" ca="1" si="134"/>
        <v>15</v>
      </c>
      <c r="N97" s="127">
        <f t="shared" ca="1" si="134"/>
        <v>14</v>
      </c>
      <c r="O97" s="127">
        <f t="shared" ca="1" si="134"/>
        <v>13</v>
      </c>
      <c r="P97" s="127">
        <f t="shared" ca="1" si="134"/>
        <v>12</v>
      </c>
      <c r="Q97" s="127" t="str">
        <f t="shared" si="134"/>
        <v/>
      </c>
      <c r="R97" s="127" t="str">
        <f t="shared" si="134"/>
        <v/>
      </c>
      <c r="S97" s="127" t="str">
        <f t="shared" si="134"/>
        <v/>
      </c>
      <c r="T97" s="127" t="str">
        <f t="shared" si="134"/>
        <v/>
      </c>
      <c r="U97" s="127" t="str">
        <f t="shared" si="134"/>
        <v/>
      </c>
      <c r="V97" s="127" t="str">
        <f t="shared" si="94"/>
        <v>SW11</v>
      </c>
      <c r="W97" s="128">
        <f t="shared" ca="1" si="134"/>
        <v>9</v>
      </c>
      <c r="X97" s="129">
        <f t="shared" ca="1" si="134"/>
        <v>8</v>
      </c>
      <c r="Y97" s="129">
        <f t="shared" ca="1" si="134"/>
        <v>7</v>
      </c>
      <c r="Z97" s="127">
        <v>0</v>
      </c>
      <c r="AA97" s="91" t="str">
        <f t="shared" si="118"/>
        <v>SM16</v>
      </c>
      <c r="AB97" s="91">
        <v>96</v>
      </c>
      <c r="AC97" s="95">
        <f t="shared" ca="1" si="96"/>
        <v>100000</v>
      </c>
      <c r="AD97" s="95" t="s">
        <v>972</v>
      </c>
      <c r="AE97" s="95" t="str">
        <f t="shared" ca="1" si="97"/>
        <v/>
      </c>
      <c r="AF97" s="95">
        <f t="shared" ca="1" si="98"/>
        <v>100000</v>
      </c>
      <c r="AG97" s="95" t="str">
        <f t="shared" ca="1" si="99"/>
        <v xml:space="preserve"> </v>
      </c>
      <c r="AH97" s="95" t="e">
        <f t="shared" ca="1" si="100"/>
        <v>#N/A</v>
      </c>
      <c r="AY97" s="55" t="s">
        <v>846</v>
      </c>
      <c r="AZ97" s="219">
        <v>44699</v>
      </c>
    </row>
    <row r="98" spans="1:52" x14ac:dyDescent="0.2">
      <c r="A98" s="45" t="s">
        <v>47</v>
      </c>
      <c r="B98" s="89" t="s">
        <v>73</v>
      </c>
      <c r="D98" s="91" t="str">
        <f>REPLACE(D2,1,1,"A")</f>
        <v>A1</v>
      </c>
      <c r="E98" s="130">
        <f>E2</f>
        <v>1</v>
      </c>
      <c r="F98" s="130">
        <f t="shared" ref="F98:H98" si="135">F2</f>
        <v>1</v>
      </c>
      <c r="G98" s="130">
        <f t="shared" si="135"/>
        <v>5</v>
      </c>
      <c r="H98" s="130">
        <f t="shared" si="135"/>
        <v>10</v>
      </c>
      <c r="AA98" s="91" t="str">
        <f t="shared" ref="AA98:AA113" si="136">$AJ$7&amp;C1</f>
        <v>SW1</v>
      </c>
      <c r="AB98" s="91">
        <v>97</v>
      </c>
      <c r="AD98" s="95" t="s">
        <v>973</v>
      </c>
      <c r="AE98" s="95" t="str">
        <f t="shared" ca="1" si="97"/>
        <v/>
      </c>
      <c r="AY98" s="55" t="s">
        <v>847</v>
      </c>
      <c r="AZ98" s="219">
        <v>44706</v>
      </c>
    </row>
    <row r="99" spans="1:52" x14ac:dyDescent="0.2">
      <c r="A99" s="45" t="s">
        <v>166</v>
      </c>
      <c r="B99" s="89" t="s">
        <v>352</v>
      </c>
      <c r="D99" s="91" t="str">
        <f t="shared" ref="D99:D113" si="137">REPLACE(D3,1,1,"A")</f>
        <v>A16</v>
      </c>
      <c r="E99" s="130">
        <f t="shared" ref="E99:H99" si="138">E3</f>
        <v>2</v>
      </c>
      <c r="F99" s="130">
        <f t="shared" si="138"/>
        <v>1</v>
      </c>
      <c r="G99" s="130">
        <f t="shared" si="138"/>
        <v>5</v>
      </c>
      <c r="H99" s="130">
        <f t="shared" si="138"/>
        <v>10</v>
      </c>
      <c r="AA99" s="91" t="str">
        <f t="shared" si="136"/>
        <v>SW2</v>
      </c>
      <c r="AB99" s="91">
        <v>98</v>
      </c>
      <c r="AD99" s="95" t="s">
        <v>974</v>
      </c>
      <c r="AE99" s="95" t="str">
        <f t="shared" ca="1" si="97"/>
        <v/>
      </c>
      <c r="AY99" s="55" t="s">
        <v>848</v>
      </c>
      <c r="AZ99" s="219">
        <v>44713</v>
      </c>
    </row>
    <row r="100" spans="1:52" x14ac:dyDescent="0.2">
      <c r="A100" s="45" t="s">
        <v>48</v>
      </c>
      <c r="B100" s="89" t="s">
        <v>74</v>
      </c>
      <c r="D100" s="91" t="str">
        <f t="shared" si="137"/>
        <v>A8</v>
      </c>
      <c r="E100" s="130">
        <f t="shared" ref="E100:H100" si="139">E4</f>
        <v>3</v>
      </c>
      <c r="F100" s="130">
        <f t="shared" si="139"/>
        <v>2</v>
      </c>
      <c r="G100" s="130">
        <f t="shared" si="139"/>
        <v>5</v>
      </c>
      <c r="H100" s="130">
        <f t="shared" si="139"/>
        <v>10</v>
      </c>
      <c r="AA100" s="91" t="str">
        <f t="shared" si="136"/>
        <v>SW3</v>
      </c>
      <c r="AB100" s="91">
        <v>99</v>
      </c>
      <c r="AD100" s="95" t="s">
        <v>975</v>
      </c>
      <c r="AE100" s="95" t="str">
        <f t="shared" ca="1" si="97"/>
        <v/>
      </c>
      <c r="AY100" s="55" t="s">
        <v>849</v>
      </c>
      <c r="AZ100" s="219">
        <v>44720</v>
      </c>
    </row>
    <row r="101" spans="1:52" x14ac:dyDescent="0.2">
      <c r="A101" s="45" t="s">
        <v>167</v>
      </c>
      <c r="B101" s="89" t="s">
        <v>353</v>
      </c>
      <c r="D101" s="91" t="str">
        <f t="shared" si="137"/>
        <v>A9</v>
      </c>
      <c r="E101" s="130">
        <f t="shared" ref="E101:H101" si="140">E5</f>
        <v>4</v>
      </c>
      <c r="F101" s="130">
        <f t="shared" si="140"/>
        <v>2</v>
      </c>
      <c r="G101" s="130">
        <f t="shared" si="140"/>
        <v>5</v>
      </c>
      <c r="H101" s="130">
        <f t="shared" si="140"/>
        <v>10</v>
      </c>
      <c r="AA101" s="91" t="str">
        <f t="shared" si="136"/>
        <v>SW4</v>
      </c>
      <c r="AB101" s="91">
        <v>100</v>
      </c>
      <c r="AD101" s="95" t="s">
        <v>976</v>
      </c>
      <c r="AE101" s="95" t="str">
        <f t="shared" ca="1" si="97"/>
        <v/>
      </c>
    </row>
    <row r="102" spans="1:52" x14ac:dyDescent="0.2">
      <c r="A102" s="45" t="s">
        <v>49</v>
      </c>
      <c r="B102" s="89" t="s">
        <v>75</v>
      </c>
      <c r="D102" s="91" t="str">
        <f t="shared" si="137"/>
        <v>A4</v>
      </c>
      <c r="E102" s="130">
        <f t="shared" ref="E102:H102" si="141">E6</f>
        <v>5</v>
      </c>
      <c r="F102" s="130">
        <f t="shared" si="141"/>
        <v>3</v>
      </c>
      <c r="G102" s="130">
        <f t="shared" si="141"/>
        <v>6</v>
      </c>
      <c r="H102" s="130">
        <f t="shared" si="141"/>
        <v>10</v>
      </c>
      <c r="AA102" s="91" t="str">
        <f t="shared" si="136"/>
        <v>SW5</v>
      </c>
      <c r="AB102" s="91">
        <v>101</v>
      </c>
      <c r="AD102" s="95" t="s">
        <v>977</v>
      </c>
      <c r="AE102" s="95" t="str">
        <f t="shared" ca="1" si="97"/>
        <v/>
      </c>
    </row>
    <row r="103" spans="1:52" x14ac:dyDescent="0.2">
      <c r="A103" s="45" t="s">
        <v>168</v>
      </c>
      <c r="B103" s="89" t="s">
        <v>354</v>
      </c>
      <c r="D103" s="91" t="str">
        <f t="shared" si="137"/>
        <v>A13</v>
      </c>
      <c r="E103" s="130">
        <f t="shared" ref="E103:H103" si="142">E7</f>
        <v>6</v>
      </c>
      <c r="F103" s="130">
        <f t="shared" si="142"/>
        <v>3</v>
      </c>
      <c r="G103" s="130">
        <f t="shared" si="142"/>
        <v>6</v>
      </c>
      <c r="H103" s="130">
        <f t="shared" si="142"/>
        <v>10</v>
      </c>
      <c r="AA103" s="91" t="str">
        <f t="shared" si="136"/>
        <v>SW6</v>
      </c>
      <c r="AB103" s="91">
        <v>102</v>
      </c>
      <c r="AD103" s="95" t="s">
        <v>978</v>
      </c>
      <c r="AE103" s="95" t="str">
        <f t="shared" ca="1" si="97"/>
        <v/>
      </c>
    </row>
    <row r="104" spans="1:52" x14ac:dyDescent="0.2">
      <c r="A104" s="45" t="s">
        <v>170</v>
      </c>
      <c r="B104" s="89" t="s">
        <v>356</v>
      </c>
      <c r="D104" s="91" t="str">
        <f t="shared" si="137"/>
        <v>A5</v>
      </c>
      <c r="E104" s="130">
        <f t="shared" ref="E104:H104" si="143">E8</f>
        <v>7</v>
      </c>
      <c r="F104" s="130">
        <f t="shared" si="143"/>
        <v>4</v>
      </c>
      <c r="G104" s="130">
        <f t="shared" si="143"/>
        <v>6</v>
      </c>
      <c r="H104" s="130">
        <f t="shared" si="143"/>
        <v>10</v>
      </c>
      <c r="AA104" s="91" t="str">
        <f t="shared" si="136"/>
        <v>SW7</v>
      </c>
      <c r="AB104" s="91">
        <v>103</v>
      </c>
      <c r="AD104" s="95" t="s">
        <v>979</v>
      </c>
      <c r="AE104" s="95" t="str">
        <f t="shared" ca="1" si="97"/>
        <v/>
      </c>
    </row>
    <row r="105" spans="1:52" x14ac:dyDescent="0.2">
      <c r="A105" s="45" t="s">
        <v>172</v>
      </c>
      <c r="B105" s="89" t="s">
        <v>358</v>
      </c>
      <c r="D105" s="91" t="str">
        <f t="shared" si="137"/>
        <v>A12</v>
      </c>
      <c r="E105" s="130">
        <f t="shared" ref="E105:H105" si="144">E9</f>
        <v>8</v>
      </c>
      <c r="F105" s="130">
        <f t="shared" si="144"/>
        <v>4</v>
      </c>
      <c r="G105" s="130">
        <f t="shared" si="144"/>
        <v>6</v>
      </c>
      <c r="H105" s="130">
        <f t="shared" si="144"/>
        <v>10</v>
      </c>
      <c r="AA105" s="91" t="str">
        <f t="shared" si="136"/>
        <v>SW8</v>
      </c>
      <c r="AB105" s="91">
        <v>104</v>
      </c>
      <c r="AD105" s="95" t="s">
        <v>980</v>
      </c>
      <c r="AE105" s="95" t="str">
        <f t="shared" ca="1" si="97"/>
        <v/>
      </c>
    </row>
    <row r="106" spans="1:52" x14ac:dyDescent="0.2">
      <c r="A106" s="45" t="s">
        <v>174</v>
      </c>
      <c r="B106" s="89" t="s">
        <v>360</v>
      </c>
      <c r="D106" s="91" t="str">
        <f t="shared" si="137"/>
        <v>A2</v>
      </c>
      <c r="E106" s="130">
        <f t="shared" ref="E106:H106" si="145">E10</f>
        <v>9</v>
      </c>
      <c r="F106" s="130">
        <f t="shared" si="145"/>
        <v>5</v>
      </c>
      <c r="G106" s="130">
        <f t="shared" si="145"/>
        <v>2</v>
      </c>
      <c r="H106" s="130">
        <f t="shared" si="145"/>
        <v>11</v>
      </c>
      <c r="AA106" s="91" t="str">
        <f t="shared" si="136"/>
        <v>SW9</v>
      </c>
      <c r="AB106" s="91">
        <v>105</v>
      </c>
      <c r="AD106" s="95" t="s">
        <v>981</v>
      </c>
      <c r="AE106" s="95" t="str">
        <f t="shared" ca="1" si="97"/>
        <v/>
      </c>
    </row>
    <row r="107" spans="1:52" x14ac:dyDescent="0.2">
      <c r="A107" s="45" t="s">
        <v>169</v>
      </c>
      <c r="B107" s="89" t="s">
        <v>355</v>
      </c>
      <c r="D107" s="91" t="str">
        <f t="shared" si="137"/>
        <v>A15</v>
      </c>
      <c r="E107" s="130">
        <f t="shared" ref="E107:H107" si="146">E11</f>
        <v>10</v>
      </c>
      <c r="F107" s="130">
        <f t="shared" si="146"/>
        <v>5</v>
      </c>
      <c r="G107" s="130">
        <f t="shared" si="146"/>
        <v>2</v>
      </c>
      <c r="H107" s="130">
        <f t="shared" si="146"/>
        <v>11</v>
      </c>
      <c r="AA107" s="91" t="str">
        <f t="shared" si="136"/>
        <v>SW10</v>
      </c>
      <c r="AB107" s="91">
        <v>106</v>
      </c>
      <c r="AD107" s="95" t="s">
        <v>982</v>
      </c>
      <c r="AE107" s="95" t="str">
        <f t="shared" ca="1" si="97"/>
        <v/>
      </c>
    </row>
    <row r="108" spans="1:52" x14ac:dyDescent="0.2">
      <c r="A108" s="45" t="s">
        <v>175</v>
      </c>
      <c r="B108" s="89" t="s">
        <v>361</v>
      </c>
      <c r="D108" s="91" t="str">
        <f t="shared" si="137"/>
        <v>A7</v>
      </c>
      <c r="E108" s="130">
        <f t="shared" ref="E108:H108" si="147">E12</f>
        <v>11</v>
      </c>
      <c r="F108" s="130">
        <f t="shared" si="147"/>
        <v>6</v>
      </c>
      <c r="G108" s="130">
        <f t="shared" si="147"/>
        <v>2</v>
      </c>
      <c r="H108" s="130">
        <f t="shared" si="147"/>
        <v>11</v>
      </c>
      <c r="AA108" s="91" t="str">
        <f t="shared" si="136"/>
        <v>SW11</v>
      </c>
      <c r="AB108" s="91">
        <v>107</v>
      </c>
      <c r="AD108" s="95" t="s">
        <v>983</v>
      </c>
      <c r="AE108" s="95" t="str">
        <f t="shared" ca="1" si="97"/>
        <v/>
      </c>
    </row>
    <row r="109" spans="1:52" x14ac:dyDescent="0.2">
      <c r="A109" s="45" t="s">
        <v>50</v>
      </c>
      <c r="B109" s="89" t="s">
        <v>362</v>
      </c>
      <c r="D109" s="91" t="str">
        <f t="shared" si="137"/>
        <v>A10</v>
      </c>
      <c r="E109" s="130">
        <f t="shared" ref="E109:H109" si="148">E13</f>
        <v>12</v>
      </c>
      <c r="F109" s="130">
        <f t="shared" si="148"/>
        <v>6</v>
      </c>
      <c r="G109" s="130">
        <f t="shared" si="148"/>
        <v>2</v>
      </c>
      <c r="H109" s="130">
        <f t="shared" si="148"/>
        <v>11</v>
      </c>
      <c r="AA109" s="91" t="str">
        <f t="shared" si="136"/>
        <v>SW12</v>
      </c>
      <c r="AB109" s="91">
        <v>108</v>
      </c>
      <c r="AD109" s="95" t="s">
        <v>984</v>
      </c>
      <c r="AE109" s="95" t="str">
        <f t="shared" ca="1" si="97"/>
        <v/>
      </c>
    </row>
    <row r="110" spans="1:52" x14ac:dyDescent="0.2">
      <c r="A110" s="45" t="s">
        <v>180</v>
      </c>
      <c r="B110" s="89" t="s">
        <v>367</v>
      </c>
      <c r="D110" s="91" t="str">
        <f t="shared" si="137"/>
        <v>A3</v>
      </c>
      <c r="E110" s="130">
        <f t="shared" ref="E110:H110" si="149">E14</f>
        <v>13</v>
      </c>
      <c r="F110" s="130">
        <f t="shared" si="149"/>
        <v>7</v>
      </c>
      <c r="G110" s="130">
        <f t="shared" si="149"/>
        <v>3</v>
      </c>
      <c r="H110" s="130">
        <f t="shared" si="149"/>
        <v>11</v>
      </c>
      <c r="AA110" s="91" t="str">
        <f t="shared" si="136"/>
        <v>SW13</v>
      </c>
      <c r="AB110" s="91">
        <v>109</v>
      </c>
      <c r="AD110" s="95" t="s">
        <v>985</v>
      </c>
      <c r="AE110" s="95" t="str">
        <f t="shared" ca="1" si="97"/>
        <v/>
      </c>
    </row>
    <row r="111" spans="1:52" x14ac:dyDescent="0.2">
      <c r="A111" s="45" t="s">
        <v>179</v>
      </c>
      <c r="B111" s="89" t="s">
        <v>366</v>
      </c>
      <c r="D111" s="91" t="str">
        <f t="shared" si="137"/>
        <v>A14</v>
      </c>
      <c r="E111" s="130">
        <f t="shared" ref="E111:H111" si="150">E15</f>
        <v>14</v>
      </c>
      <c r="F111" s="130">
        <f t="shared" si="150"/>
        <v>7</v>
      </c>
      <c r="G111" s="130">
        <f t="shared" si="150"/>
        <v>3</v>
      </c>
      <c r="H111" s="130">
        <f t="shared" si="150"/>
        <v>11</v>
      </c>
      <c r="AA111" s="91" t="str">
        <f t="shared" si="136"/>
        <v>SW14</v>
      </c>
      <c r="AB111" s="91">
        <v>110</v>
      </c>
      <c r="AD111" s="95" t="s">
        <v>986</v>
      </c>
      <c r="AE111" s="95" t="str">
        <f t="shared" ca="1" si="97"/>
        <v/>
      </c>
    </row>
    <row r="112" spans="1:52" x14ac:dyDescent="0.2">
      <c r="A112" s="45" t="s">
        <v>177</v>
      </c>
      <c r="B112" s="89" t="s">
        <v>364</v>
      </c>
      <c r="D112" s="91" t="str">
        <f t="shared" si="137"/>
        <v>A6</v>
      </c>
      <c r="E112" s="130">
        <f t="shared" ref="E112:H112" si="151">E16</f>
        <v>15</v>
      </c>
      <c r="F112" s="130">
        <f t="shared" si="151"/>
        <v>8</v>
      </c>
      <c r="G112" s="130">
        <f t="shared" si="151"/>
        <v>3</v>
      </c>
      <c r="H112" s="130">
        <f t="shared" si="151"/>
        <v>11</v>
      </c>
      <c r="AA112" s="91" t="str">
        <f t="shared" si="136"/>
        <v>SW15</v>
      </c>
      <c r="AB112" s="91">
        <v>111</v>
      </c>
      <c r="AD112" s="95" t="s">
        <v>987</v>
      </c>
      <c r="AE112" s="95" t="str">
        <f t="shared" ca="1" si="97"/>
        <v/>
      </c>
    </row>
    <row r="113" spans="1:31" x14ac:dyDescent="0.2">
      <c r="A113" s="45" t="s">
        <v>176</v>
      </c>
      <c r="B113" s="89" t="s">
        <v>363</v>
      </c>
      <c r="D113" s="91" t="str">
        <f t="shared" si="137"/>
        <v>A11</v>
      </c>
      <c r="E113" s="130">
        <f t="shared" ref="E113:H113" si="152">E17</f>
        <v>16</v>
      </c>
      <c r="F113" s="130">
        <f t="shared" si="152"/>
        <v>8</v>
      </c>
      <c r="G113" s="130">
        <f t="shared" si="152"/>
        <v>3</v>
      </c>
      <c r="H113" s="130">
        <f t="shared" si="152"/>
        <v>11</v>
      </c>
      <c r="AA113" s="91" t="str">
        <f t="shared" si="136"/>
        <v>SW16</v>
      </c>
      <c r="AB113" s="91">
        <v>112</v>
      </c>
      <c r="AD113" s="95" t="s">
        <v>988</v>
      </c>
      <c r="AE113" s="95" t="str">
        <f t="shared" ca="1" si="97"/>
        <v/>
      </c>
    </row>
    <row r="114" spans="1:31" x14ac:dyDescent="0.2">
      <c r="A114" s="45" t="s">
        <v>181</v>
      </c>
      <c r="B114" s="89" t="s">
        <v>368</v>
      </c>
      <c r="AD114" s="95" t="s">
        <v>989</v>
      </c>
      <c r="AE114" s="95" t="str">
        <f t="shared" ca="1" si="97"/>
        <v/>
      </c>
    </row>
    <row r="115" spans="1:31" x14ac:dyDescent="0.2">
      <c r="A115" s="45" t="s">
        <v>182</v>
      </c>
      <c r="B115" s="89" t="s">
        <v>369</v>
      </c>
      <c r="AD115" s="95" t="s">
        <v>990</v>
      </c>
      <c r="AE115" s="95" t="str">
        <f t="shared" ca="1" si="97"/>
        <v/>
      </c>
    </row>
    <row r="116" spans="1:31" x14ac:dyDescent="0.2">
      <c r="A116" s="45" t="s">
        <v>183</v>
      </c>
      <c r="B116" s="89" t="s">
        <v>370</v>
      </c>
      <c r="AD116" s="95" t="s">
        <v>991</v>
      </c>
      <c r="AE116" s="95" t="str">
        <f t="shared" ca="1" si="97"/>
        <v/>
      </c>
    </row>
    <row r="117" spans="1:31" x14ac:dyDescent="0.2">
      <c r="A117" s="45" t="s">
        <v>184</v>
      </c>
      <c r="B117" s="89" t="s">
        <v>371</v>
      </c>
      <c r="AD117" s="95" t="s">
        <v>992</v>
      </c>
      <c r="AE117" s="95" t="str">
        <f t="shared" ca="1" si="97"/>
        <v/>
      </c>
    </row>
    <row r="118" spans="1:31" x14ac:dyDescent="0.2">
      <c r="A118" s="45" t="s">
        <v>193</v>
      </c>
      <c r="B118" s="89" t="s">
        <v>381</v>
      </c>
      <c r="AD118" s="95" t="s">
        <v>993</v>
      </c>
      <c r="AE118" s="95" t="str">
        <f t="shared" ca="1" si="97"/>
        <v/>
      </c>
    </row>
    <row r="119" spans="1:31" x14ac:dyDescent="0.2">
      <c r="A119" s="45" t="s">
        <v>185</v>
      </c>
      <c r="B119" s="89" t="s">
        <v>372</v>
      </c>
      <c r="AD119" s="95" t="s">
        <v>994</v>
      </c>
      <c r="AE119" s="95" t="str">
        <f t="shared" ca="1" si="97"/>
        <v/>
      </c>
    </row>
    <row r="120" spans="1:31" x14ac:dyDescent="0.2">
      <c r="A120" s="45" t="s">
        <v>188</v>
      </c>
      <c r="B120" s="89" t="s">
        <v>375</v>
      </c>
      <c r="AD120" s="95" t="s">
        <v>995</v>
      </c>
      <c r="AE120" s="95" t="str">
        <f t="shared" ca="1" si="97"/>
        <v/>
      </c>
    </row>
    <row r="121" spans="1:31" x14ac:dyDescent="0.2">
      <c r="A121" s="45" t="s">
        <v>187</v>
      </c>
      <c r="B121" s="89" t="s">
        <v>374</v>
      </c>
      <c r="AD121" s="95" t="s">
        <v>996</v>
      </c>
      <c r="AE121" s="95" t="str">
        <f t="shared" ca="1" si="97"/>
        <v/>
      </c>
    </row>
    <row r="122" spans="1:31" x14ac:dyDescent="0.2">
      <c r="A122" s="45" t="s">
        <v>190</v>
      </c>
      <c r="B122" s="89" t="s">
        <v>377</v>
      </c>
      <c r="AD122" s="95" t="s">
        <v>997</v>
      </c>
      <c r="AE122" s="95" t="str">
        <f t="shared" ca="1" si="97"/>
        <v/>
      </c>
    </row>
    <row r="123" spans="1:31" x14ac:dyDescent="0.2">
      <c r="A123" s="45" t="s">
        <v>194</v>
      </c>
      <c r="B123" s="89" t="s">
        <v>382</v>
      </c>
      <c r="AD123" s="95" t="s">
        <v>998</v>
      </c>
      <c r="AE123" s="95" t="str">
        <f t="shared" ca="1" si="97"/>
        <v/>
      </c>
    </row>
    <row r="124" spans="1:31" x14ac:dyDescent="0.2">
      <c r="A124" s="45" t="s">
        <v>195</v>
      </c>
      <c r="B124" s="89" t="s">
        <v>383</v>
      </c>
      <c r="AD124" s="95" t="s">
        <v>999</v>
      </c>
      <c r="AE124" s="95" t="str">
        <f t="shared" ca="1" si="97"/>
        <v/>
      </c>
    </row>
    <row r="125" spans="1:31" x14ac:dyDescent="0.2">
      <c r="A125" s="45" t="s">
        <v>192</v>
      </c>
      <c r="B125" s="89" t="s">
        <v>380</v>
      </c>
      <c r="AD125" s="95" t="s">
        <v>1000</v>
      </c>
      <c r="AE125" s="95" t="str">
        <f t="shared" ca="1" si="97"/>
        <v/>
      </c>
    </row>
    <row r="126" spans="1:31" x14ac:dyDescent="0.2">
      <c r="A126" s="45" t="s">
        <v>201</v>
      </c>
      <c r="B126" s="89" t="s">
        <v>389</v>
      </c>
      <c r="AD126" s="95" t="s">
        <v>1001</v>
      </c>
      <c r="AE126" s="95" t="str">
        <f t="shared" ca="1" si="97"/>
        <v/>
      </c>
    </row>
    <row r="127" spans="1:31" x14ac:dyDescent="0.2">
      <c r="A127" s="45" t="s">
        <v>200</v>
      </c>
      <c r="B127" s="89" t="s">
        <v>388</v>
      </c>
      <c r="AD127" s="95" t="s">
        <v>1002</v>
      </c>
      <c r="AE127" s="95" t="str">
        <f t="shared" ca="1" si="97"/>
        <v/>
      </c>
    </row>
    <row r="128" spans="1:31" x14ac:dyDescent="0.2">
      <c r="A128" s="45" t="s">
        <v>191</v>
      </c>
      <c r="B128" s="89" t="s">
        <v>378</v>
      </c>
      <c r="AD128" s="95" t="s">
        <v>1003</v>
      </c>
      <c r="AE128" s="95" t="str">
        <f t="shared" ca="1" si="97"/>
        <v/>
      </c>
    </row>
    <row r="129" spans="1:31" x14ac:dyDescent="0.2">
      <c r="A129" s="45" t="s">
        <v>189</v>
      </c>
      <c r="B129" s="89" t="s">
        <v>376</v>
      </c>
      <c r="AD129" s="95" t="s">
        <v>1004</v>
      </c>
      <c r="AE129" s="95" t="str">
        <f t="shared" ca="1" si="97"/>
        <v/>
      </c>
    </row>
    <row r="130" spans="1:31" x14ac:dyDescent="0.2">
      <c r="A130" s="45" t="s">
        <v>198</v>
      </c>
      <c r="B130" s="89" t="s">
        <v>386</v>
      </c>
      <c r="AD130" s="95" t="s">
        <v>1005</v>
      </c>
      <c r="AE130" s="95" t="str">
        <f t="shared" ca="1" si="97"/>
        <v/>
      </c>
    </row>
    <row r="131" spans="1:31" x14ac:dyDescent="0.2">
      <c r="A131" s="45" t="s">
        <v>51</v>
      </c>
      <c r="B131" s="89" t="s">
        <v>379</v>
      </c>
      <c r="AD131" s="95" t="s">
        <v>1006</v>
      </c>
      <c r="AE131" s="95" t="str">
        <f t="shared" ref="AE131:AE194" ca="1" si="153">INDIRECT($AP$5&amp;AD131)</f>
        <v/>
      </c>
    </row>
    <row r="132" spans="1:31" x14ac:dyDescent="0.2">
      <c r="A132" s="45" t="s">
        <v>196</v>
      </c>
      <c r="B132" s="89" t="s">
        <v>384</v>
      </c>
      <c r="AD132" s="95" t="s">
        <v>1007</v>
      </c>
      <c r="AE132" s="95" t="str">
        <f t="shared" ca="1" si="153"/>
        <v/>
      </c>
    </row>
    <row r="133" spans="1:31" x14ac:dyDescent="0.2">
      <c r="A133" s="45" t="s">
        <v>197</v>
      </c>
      <c r="B133" s="89" t="s">
        <v>385</v>
      </c>
      <c r="AD133" s="95" t="s">
        <v>1008</v>
      </c>
      <c r="AE133" s="95">
        <f t="shared" ca="1" si="153"/>
        <v>0</v>
      </c>
    </row>
    <row r="134" spans="1:31" x14ac:dyDescent="0.2">
      <c r="A134" s="45" t="s">
        <v>186</v>
      </c>
      <c r="B134" s="89" t="s">
        <v>373</v>
      </c>
      <c r="AD134" s="95" t="s">
        <v>1009</v>
      </c>
      <c r="AE134" s="95">
        <f t="shared" ca="1" si="153"/>
        <v>0</v>
      </c>
    </row>
    <row r="135" spans="1:31" x14ac:dyDescent="0.2">
      <c r="A135" s="45" t="s">
        <v>199</v>
      </c>
      <c r="B135" s="89" t="s">
        <v>387</v>
      </c>
      <c r="AD135" s="95" t="s">
        <v>1010</v>
      </c>
      <c r="AE135" s="95">
        <f t="shared" ca="1" si="153"/>
        <v>0</v>
      </c>
    </row>
    <row r="136" spans="1:31" x14ac:dyDescent="0.2">
      <c r="A136" s="45" t="s">
        <v>202</v>
      </c>
      <c r="B136" s="89" t="s">
        <v>390</v>
      </c>
      <c r="AD136" s="95" t="s">
        <v>1011</v>
      </c>
      <c r="AE136" s="95">
        <f t="shared" ca="1" si="153"/>
        <v>0</v>
      </c>
    </row>
    <row r="137" spans="1:31" x14ac:dyDescent="0.2">
      <c r="A137" s="45" t="s">
        <v>203</v>
      </c>
      <c r="B137" s="89" t="s">
        <v>391</v>
      </c>
      <c r="AD137" s="95" t="s">
        <v>1012</v>
      </c>
      <c r="AE137" s="95">
        <f t="shared" ca="1" si="153"/>
        <v>0</v>
      </c>
    </row>
    <row r="138" spans="1:31" x14ac:dyDescent="0.2">
      <c r="A138" s="45" t="s">
        <v>209</v>
      </c>
      <c r="B138" s="89" t="s">
        <v>397</v>
      </c>
      <c r="AD138" s="95" t="s">
        <v>1013</v>
      </c>
      <c r="AE138" s="95">
        <f t="shared" ca="1" si="153"/>
        <v>0</v>
      </c>
    </row>
    <row r="139" spans="1:31" x14ac:dyDescent="0.2">
      <c r="A139" s="45" t="s">
        <v>205</v>
      </c>
      <c r="B139" s="89" t="s">
        <v>393</v>
      </c>
      <c r="AD139" s="95" t="s">
        <v>1014</v>
      </c>
      <c r="AE139" s="95">
        <f t="shared" ca="1" si="153"/>
        <v>0</v>
      </c>
    </row>
    <row r="140" spans="1:31" x14ac:dyDescent="0.2">
      <c r="A140" s="45" t="s">
        <v>52</v>
      </c>
      <c r="B140" s="89" t="s">
        <v>76</v>
      </c>
      <c r="AD140" s="95" t="s">
        <v>1015</v>
      </c>
      <c r="AE140" s="95">
        <f t="shared" ca="1" si="153"/>
        <v>0</v>
      </c>
    </row>
    <row r="141" spans="1:31" x14ac:dyDescent="0.2">
      <c r="A141" s="45" t="s">
        <v>85</v>
      </c>
      <c r="B141" s="89" t="s">
        <v>272</v>
      </c>
      <c r="AD141" s="95" t="s">
        <v>1016</v>
      </c>
      <c r="AE141" s="95">
        <f t="shared" ca="1" si="153"/>
        <v>0</v>
      </c>
    </row>
    <row r="142" spans="1:31" x14ac:dyDescent="0.2">
      <c r="A142" s="45" t="s">
        <v>210</v>
      </c>
      <c r="B142" s="89" t="s">
        <v>398</v>
      </c>
      <c r="AD142" s="95" t="s">
        <v>1017</v>
      </c>
      <c r="AE142" s="95">
        <f t="shared" ca="1" si="153"/>
        <v>0</v>
      </c>
    </row>
    <row r="143" spans="1:31" x14ac:dyDescent="0.2">
      <c r="A143" s="45" t="s">
        <v>204</v>
      </c>
      <c r="B143" s="89" t="s">
        <v>392</v>
      </c>
      <c r="AD143" s="95" t="s">
        <v>1018</v>
      </c>
      <c r="AE143" s="95">
        <f t="shared" ca="1" si="153"/>
        <v>0</v>
      </c>
    </row>
    <row r="144" spans="1:31" x14ac:dyDescent="0.2">
      <c r="A144" s="45" t="s">
        <v>207</v>
      </c>
      <c r="B144" s="89" t="s">
        <v>395</v>
      </c>
      <c r="AD144" s="95" t="s">
        <v>1019</v>
      </c>
      <c r="AE144" s="95">
        <f t="shared" ca="1" si="153"/>
        <v>0</v>
      </c>
    </row>
    <row r="145" spans="1:31" x14ac:dyDescent="0.2">
      <c r="A145" s="45" t="s">
        <v>206</v>
      </c>
      <c r="B145" s="89" t="s">
        <v>394</v>
      </c>
      <c r="AD145" s="95" t="s">
        <v>1020</v>
      </c>
      <c r="AE145" s="95">
        <f t="shared" ca="1" si="153"/>
        <v>0</v>
      </c>
    </row>
    <row r="146" spans="1:31" x14ac:dyDescent="0.2">
      <c r="A146" s="45" t="s">
        <v>221</v>
      </c>
      <c r="B146" s="89" t="s">
        <v>409</v>
      </c>
      <c r="AD146" s="95" t="s">
        <v>1021</v>
      </c>
      <c r="AE146" s="95">
        <f t="shared" ca="1" si="153"/>
        <v>0</v>
      </c>
    </row>
    <row r="147" spans="1:31" x14ac:dyDescent="0.2">
      <c r="A147" s="45" t="s">
        <v>208</v>
      </c>
      <c r="B147" s="89" t="s">
        <v>396</v>
      </c>
      <c r="AD147" s="95" t="s">
        <v>1022</v>
      </c>
      <c r="AE147" s="95">
        <f t="shared" ca="1" si="153"/>
        <v>0</v>
      </c>
    </row>
    <row r="148" spans="1:31" x14ac:dyDescent="0.2">
      <c r="A148" s="45" t="s">
        <v>211</v>
      </c>
      <c r="B148" s="89" t="s">
        <v>399</v>
      </c>
      <c r="AD148" s="95" t="s">
        <v>1023</v>
      </c>
      <c r="AE148" s="95">
        <f t="shared" ca="1" si="153"/>
        <v>0</v>
      </c>
    </row>
    <row r="149" spans="1:31" x14ac:dyDescent="0.2">
      <c r="A149" s="45" t="s">
        <v>212</v>
      </c>
      <c r="B149" s="89" t="s">
        <v>400</v>
      </c>
      <c r="AD149" s="95" t="s">
        <v>1024</v>
      </c>
      <c r="AE149" s="95">
        <f t="shared" ca="1" si="153"/>
        <v>0</v>
      </c>
    </row>
    <row r="150" spans="1:31" x14ac:dyDescent="0.2">
      <c r="A150" s="45" t="s">
        <v>218</v>
      </c>
      <c r="B150" s="89" t="s">
        <v>406</v>
      </c>
      <c r="AD150" s="95" t="s">
        <v>1025</v>
      </c>
      <c r="AE150" s="95">
        <f t="shared" ca="1" si="153"/>
        <v>0</v>
      </c>
    </row>
    <row r="151" spans="1:31" x14ac:dyDescent="0.2">
      <c r="A151" s="45" t="s">
        <v>217</v>
      </c>
      <c r="B151" s="89" t="s">
        <v>405</v>
      </c>
      <c r="AD151" s="95" t="s">
        <v>1026</v>
      </c>
      <c r="AE151" s="95">
        <f t="shared" ca="1" si="153"/>
        <v>0</v>
      </c>
    </row>
    <row r="152" spans="1:31" x14ac:dyDescent="0.2">
      <c r="A152" s="45" t="s">
        <v>213</v>
      </c>
      <c r="B152" s="89" t="s">
        <v>401</v>
      </c>
      <c r="AD152" s="95" t="s">
        <v>1027</v>
      </c>
      <c r="AE152" s="95">
        <f t="shared" ca="1" si="153"/>
        <v>0</v>
      </c>
    </row>
    <row r="153" spans="1:31" x14ac:dyDescent="0.2">
      <c r="A153" s="45" t="s">
        <v>219</v>
      </c>
      <c r="B153" s="89" t="s">
        <v>407</v>
      </c>
      <c r="AD153" s="95" t="s">
        <v>1028</v>
      </c>
      <c r="AE153" s="95">
        <f t="shared" ca="1" si="153"/>
        <v>0</v>
      </c>
    </row>
    <row r="154" spans="1:31" x14ac:dyDescent="0.2">
      <c r="A154" s="45" t="s">
        <v>214</v>
      </c>
      <c r="B154" s="89" t="s">
        <v>402</v>
      </c>
      <c r="AD154" s="95" t="s">
        <v>1029</v>
      </c>
      <c r="AE154" s="95">
        <f t="shared" ca="1" si="153"/>
        <v>0</v>
      </c>
    </row>
    <row r="155" spans="1:31" x14ac:dyDescent="0.2">
      <c r="A155" s="45" t="s">
        <v>215</v>
      </c>
      <c r="B155" s="89" t="s">
        <v>403</v>
      </c>
      <c r="AD155" s="95" t="s">
        <v>1030</v>
      </c>
      <c r="AE155" s="95">
        <f t="shared" ca="1" si="153"/>
        <v>0</v>
      </c>
    </row>
    <row r="156" spans="1:31" x14ac:dyDescent="0.2">
      <c r="A156" s="45" t="s">
        <v>216</v>
      </c>
      <c r="B156" s="89" t="s">
        <v>404</v>
      </c>
      <c r="AD156" s="95" t="s">
        <v>1031</v>
      </c>
      <c r="AE156" s="95">
        <f t="shared" ca="1" si="153"/>
        <v>0</v>
      </c>
    </row>
    <row r="157" spans="1:31" x14ac:dyDescent="0.2">
      <c r="A157" s="45" t="s">
        <v>220</v>
      </c>
      <c r="B157" s="89" t="s">
        <v>408</v>
      </c>
      <c r="AD157" s="95" t="s">
        <v>1032</v>
      </c>
      <c r="AE157" s="95">
        <f t="shared" ca="1" si="153"/>
        <v>0</v>
      </c>
    </row>
    <row r="158" spans="1:31" x14ac:dyDescent="0.2">
      <c r="A158" s="45" t="s">
        <v>53</v>
      </c>
      <c r="B158" s="89" t="s">
        <v>77</v>
      </c>
      <c r="AD158" s="95" t="s">
        <v>1033</v>
      </c>
      <c r="AE158" s="95">
        <f t="shared" ca="1" si="153"/>
        <v>0</v>
      </c>
    </row>
    <row r="159" spans="1:31" x14ac:dyDescent="0.2">
      <c r="A159" s="45" t="s">
        <v>222</v>
      </c>
      <c r="B159" s="89" t="s">
        <v>410</v>
      </c>
      <c r="AD159" s="95" t="s">
        <v>1034</v>
      </c>
      <c r="AE159" s="95">
        <f t="shared" ca="1" si="153"/>
        <v>0</v>
      </c>
    </row>
    <row r="160" spans="1:31" x14ac:dyDescent="0.2">
      <c r="A160" s="45" t="s">
        <v>224</v>
      </c>
      <c r="B160" s="89" t="s">
        <v>412</v>
      </c>
      <c r="AD160" s="95" t="s">
        <v>1035</v>
      </c>
      <c r="AE160" s="95">
        <f t="shared" ca="1" si="153"/>
        <v>0</v>
      </c>
    </row>
    <row r="161" spans="1:31" x14ac:dyDescent="0.2">
      <c r="A161" s="45" t="s">
        <v>225</v>
      </c>
      <c r="B161" s="89" t="s">
        <v>413</v>
      </c>
      <c r="AD161" s="95" t="s">
        <v>1036</v>
      </c>
      <c r="AE161" s="95">
        <f t="shared" ca="1" si="153"/>
        <v>0</v>
      </c>
    </row>
    <row r="162" spans="1:31" x14ac:dyDescent="0.2">
      <c r="A162" s="45" t="s">
        <v>13</v>
      </c>
      <c r="B162" s="89" t="s">
        <v>78</v>
      </c>
      <c r="AD162" s="95" t="s">
        <v>1037</v>
      </c>
      <c r="AE162" s="95">
        <f t="shared" ca="1" si="153"/>
        <v>0</v>
      </c>
    </row>
    <row r="163" spans="1:31" x14ac:dyDescent="0.2">
      <c r="A163" s="45" t="s">
        <v>227</v>
      </c>
      <c r="B163" s="89" t="s">
        <v>415</v>
      </c>
      <c r="AD163" s="95" t="s">
        <v>1038</v>
      </c>
      <c r="AE163" s="95">
        <f t="shared" ca="1" si="153"/>
        <v>0</v>
      </c>
    </row>
    <row r="164" spans="1:31" x14ac:dyDescent="0.2">
      <c r="A164" s="45" t="s">
        <v>232</v>
      </c>
      <c r="B164" s="89" t="s">
        <v>420</v>
      </c>
      <c r="AD164" s="95" t="s">
        <v>1039</v>
      </c>
      <c r="AE164" s="95">
        <f t="shared" ca="1" si="153"/>
        <v>0</v>
      </c>
    </row>
    <row r="165" spans="1:31" x14ac:dyDescent="0.2">
      <c r="A165" s="45" t="s">
        <v>178</v>
      </c>
      <c r="B165" s="89" t="s">
        <v>365</v>
      </c>
      <c r="AD165" s="95" t="s">
        <v>1040</v>
      </c>
      <c r="AE165" s="95">
        <f t="shared" ca="1" si="153"/>
        <v>0</v>
      </c>
    </row>
    <row r="166" spans="1:31" x14ac:dyDescent="0.2">
      <c r="A166" s="45" t="s">
        <v>267</v>
      </c>
      <c r="B166" s="89" t="s">
        <v>455</v>
      </c>
      <c r="AD166" s="95" t="s">
        <v>1041</v>
      </c>
      <c r="AE166" s="95">
        <f t="shared" ca="1" si="153"/>
        <v>0</v>
      </c>
    </row>
    <row r="167" spans="1:31" x14ac:dyDescent="0.2">
      <c r="A167" s="45" t="s">
        <v>228</v>
      </c>
      <c r="B167" s="89" t="s">
        <v>416</v>
      </c>
      <c r="AD167" s="95" t="s">
        <v>1042</v>
      </c>
      <c r="AE167" s="95">
        <f t="shared" ca="1" si="153"/>
        <v>0</v>
      </c>
    </row>
    <row r="168" spans="1:31" x14ac:dyDescent="0.2">
      <c r="A168" s="45" t="s">
        <v>234</v>
      </c>
      <c r="B168" s="89" t="s">
        <v>422</v>
      </c>
      <c r="AD168" s="95" t="s">
        <v>1043</v>
      </c>
      <c r="AE168" s="95">
        <f t="shared" ca="1" si="153"/>
        <v>0</v>
      </c>
    </row>
    <row r="169" spans="1:31" x14ac:dyDescent="0.2">
      <c r="A169" s="45" t="s">
        <v>239</v>
      </c>
      <c r="B169" s="89" t="s">
        <v>427</v>
      </c>
      <c r="AD169" s="95" t="s">
        <v>1044</v>
      </c>
      <c r="AE169" s="95">
        <f t="shared" ca="1" si="153"/>
        <v>0</v>
      </c>
    </row>
    <row r="170" spans="1:31" x14ac:dyDescent="0.2">
      <c r="A170" s="45" t="s">
        <v>173</v>
      </c>
      <c r="B170" s="89" t="s">
        <v>359</v>
      </c>
      <c r="AD170" s="95" t="s">
        <v>1045</v>
      </c>
      <c r="AE170" s="95">
        <f t="shared" ca="1" si="153"/>
        <v>0</v>
      </c>
    </row>
    <row r="171" spans="1:31" x14ac:dyDescent="0.2">
      <c r="A171" s="45" t="s">
        <v>229</v>
      </c>
      <c r="B171" s="89" t="s">
        <v>417</v>
      </c>
      <c r="AD171" s="95" t="s">
        <v>1046</v>
      </c>
      <c r="AE171" s="95">
        <f t="shared" ca="1" si="153"/>
        <v>0</v>
      </c>
    </row>
    <row r="172" spans="1:31" x14ac:dyDescent="0.2">
      <c r="A172" s="45" t="s">
        <v>54</v>
      </c>
      <c r="B172" s="89" t="s">
        <v>79</v>
      </c>
      <c r="AD172" s="95" t="s">
        <v>1047</v>
      </c>
      <c r="AE172" s="95">
        <f t="shared" ca="1" si="153"/>
        <v>0</v>
      </c>
    </row>
    <row r="173" spans="1:31" x14ac:dyDescent="0.2">
      <c r="A173" s="45" t="s">
        <v>230</v>
      </c>
      <c r="B173" s="89" t="s">
        <v>418</v>
      </c>
      <c r="AD173" s="95" t="s">
        <v>1048</v>
      </c>
      <c r="AE173" s="95">
        <f t="shared" ca="1" si="153"/>
        <v>0</v>
      </c>
    </row>
    <row r="174" spans="1:31" x14ac:dyDescent="0.2">
      <c r="A174" s="45" t="s">
        <v>233</v>
      </c>
      <c r="B174" s="89" t="s">
        <v>421</v>
      </c>
      <c r="AD174" s="95" t="s">
        <v>1049</v>
      </c>
      <c r="AE174" s="95">
        <f t="shared" ca="1" si="153"/>
        <v>0</v>
      </c>
    </row>
    <row r="175" spans="1:31" x14ac:dyDescent="0.2">
      <c r="A175" s="45" t="s">
        <v>231</v>
      </c>
      <c r="B175" s="89" t="s">
        <v>419</v>
      </c>
      <c r="AD175" s="95" t="s">
        <v>1050</v>
      </c>
      <c r="AE175" s="95">
        <f t="shared" ca="1" si="153"/>
        <v>0</v>
      </c>
    </row>
    <row r="176" spans="1:31" x14ac:dyDescent="0.2">
      <c r="A176" s="45" t="s">
        <v>242</v>
      </c>
      <c r="B176" s="89" t="s">
        <v>430</v>
      </c>
      <c r="AD176" s="95" t="s">
        <v>1051</v>
      </c>
      <c r="AE176" s="95">
        <f t="shared" ca="1" si="153"/>
        <v>0</v>
      </c>
    </row>
    <row r="177" spans="1:31" x14ac:dyDescent="0.2">
      <c r="A177" s="45" t="s">
        <v>55</v>
      </c>
      <c r="B177" s="89" t="s">
        <v>80</v>
      </c>
      <c r="AD177" s="95" t="s">
        <v>1052</v>
      </c>
      <c r="AE177" s="95">
        <f t="shared" ca="1" si="153"/>
        <v>0</v>
      </c>
    </row>
    <row r="178" spans="1:31" x14ac:dyDescent="0.2">
      <c r="A178" s="45" t="s">
        <v>235</v>
      </c>
      <c r="B178" s="89" t="s">
        <v>423</v>
      </c>
      <c r="AD178" s="95" t="s">
        <v>1053</v>
      </c>
      <c r="AE178" s="95">
        <f t="shared" ca="1" si="153"/>
        <v>0</v>
      </c>
    </row>
    <row r="179" spans="1:31" x14ac:dyDescent="0.2">
      <c r="A179" s="45" t="s">
        <v>236</v>
      </c>
      <c r="B179" s="89" t="s">
        <v>424</v>
      </c>
      <c r="AD179" s="95" t="s">
        <v>1054</v>
      </c>
      <c r="AE179" s="95">
        <f t="shared" ca="1" si="153"/>
        <v>0</v>
      </c>
    </row>
    <row r="180" spans="1:31" x14ac:dyDescent="0.2">
      <c r="A180" s="45" t="s">
        <v>226</v>
      </c>
      <c r="B180" s="89" t="s">
        <v>414</v>
      </c>
      <c r="AD180" s="95" t="s">
        <v>1055</v>
      </c>
      <c r="AE180" s="95">
        <f t="shared" ca="1" si="153"/>
        <v>0</v>
      </c>
    </row>
    <row r="181" spans="1:31" x14ac:dyDescent="0.2">
      <c r="A181" s="45" t="s">
        <v>171</v>
      </c>
      <c r="B181" s="89" t="s">
        <v>357</v>
      </c>
      <c r="AD181" s="95" t="s">
        <v>1056</v>
      </c>
      <c r="AE181" s="95">
        <f t="shared" ca="1" si="153"/>
        <v>0</v>
      </c>
    </row>
    <row r="182" spans="1:31" x14ac:dyDescent="0.2">
      <c r="A182" s="45" t="s">
        <v>238</v>
      </c>
      <c r="B182" s="89" t="s">
        <v>426</v>
      </c>
      <c r="AD182" s="95" t="s">
        <v>1057</v>
      </c>
      <c r="AE182" s="95">
        <f t="shared" ca="1" si="153"/>
        <v>0</v>
      </c>
    </row>
    <row r="183" spans="1:31" x14ac:dyDescent="0.2">
      <c r="A183" s="45" t="s">
        <v>141</v>
      </c>
      <c r="B183" s="89" t="s">
        <v>327</v>
      </c>
      <c r="AD183" s="95" t="s">
        <v>1058</v>
      </c>
      <c r="AE183" s="95">
        <f t="shared" ca="1" si="153"/>
        <v>0</v>
      </c>
    </row>
    <row r="184" spans="1:31" x14ac:dyDescent="0.2">
      <c r="A184" s="45" t="s">
        <v>237</v>
      </c>
      <c r="B184" s="89" t="s">
        <v>425</v>
      </c>
      <c r="AD184" s="95" t="s">
        <v>1059</v>
      </c>
      <c r="AE184" s="95">
        <f t="shared" ca="1" si="153"/>
        <v>0</v>
      </c>
    </row>
    <row r="185" spans="1:31" x14ac:dyDescent="0.2">
      <c r="A185" s="45" t="s">
        <v>240</v>
      </c>
      <c r="B185" s="89" t="s">
        <v>428</v>
      </c>
      <c r="AD185" s="95" t="s">
        <v>1060</v>
      </c>
      <c r="AE185" s="95">
        <f t="shared" ca="1" si="153"/>
        <v>0</v>
      </c>
    </row>
    <row r="186" spans="1:31" x14ac:dyDescent="0.2">
      <c r="A186" s="45" t="s">
        <v>241</v>
      </c>
      <c r="B186" s="89" t="s">
        <v>429</v>
      </c>
      <c r="AD186" s="95" t="s">
        <v>1061</v>
      </c>
      <c r="AE186" s="95">
        <f t="shared" ca="1" si="153"/>
        <v>0</v>
      </c>
    </row>
    <row r="187" spans="1:31" x14ac:dyDescent="0.2">
      <c r="A187" s="45" t="s">
        <v>243</v>
      </c>
      <c r="B187" s="89" t="s">
        <v>431</v>
      </c>
      <c r="AD187" s="95" t="s">
        <v>1062</v>
      </c>
      <c r="AE187" s="95">
        <f t="shared" ca="1" si="153"/>
        <v>0</v>
      </c>
    </row>
    <row r="188" spans="1:31" x14ac:dyDescent="0.2">
      <c r="A188" s="45" t="s">
        <v>57</v>
      </c>
      <c r="B188" s="89" t="s">
        <v>82</v>
      </c>
      <c r="AD188" s="95" t="s">
        <v>1063</v>
      </c>
      <c r="AE188" s="95">
        <f t="shared" ca="1" si="153"/>
        <v>0</v>
      </c>
    </row>
    <row r="189" spans="1:31" x14ac:dyDescent="0.2">
      <c r="A189" s="45" t="s">
        <v>56</v>
      </c>
      <c r="B189" s="89" t="s">
        <v>81</v>
      </c>
      <c r="AD189" s="95" t="s">
        <v>1064</v>
      </c>
      <c r="AE189" s="95">
        <f t="shared" ca="1" si="153"/>
        <v>0</v>
      </c>
    </row>
    <row r="190" spans="1:31" x14ac:dyDescent="0.2">
      <c r="A190" s="45" t="s">
        <v>244</v>
      </c>
      <c r="B190" s="89" t="s">
        <v>432</v>
      </c>
      <c r="AD190" s="95" t="s">
        <v>1065</v>
      </c>
      <c r="AE190" s="95">
        <f t="shared" ca="1" si="153"/>
        <v>0</v>
      </c>
    </row>
    <row r="191" spans="1:31" x14ac:dyDescent="0.2">
      <c r="A191" s="45" t="s">
        <v>253</v>
      </c>
      <c r="B191" s="89" t="s">
        <v>441</v>
      </c>
      <c r="AD191" s="95" t="s">
        <v>1066</v>
      </c>
      <c r="AE191" s="95">
        <f t="shared" ca="1" si="153"/>
        <v>0</v>
      </c>
    </row>
    <row r="192" spans="1:31" x14ac:dyDescent="0.2">
      <c r="A192" s="45" t="s">
        <v>248</v>
      </c>
      <c r="B192" s="89" t="s">
        <v>436</v>
      </c>
      <c r="AD192" s="95" t="s">
        <v>1067</v>
      </c>
      <c r="AE192" s="95">
        <f t="shared" ca="1" si="153"/>
        <v>0</v>
      </c>
    </row>
    <row r="193" spans="1:31" x14ac:dyDescent="0.2">
      <c r="A193" s="45" t="s">
        <v>245</v>
      </c>
      <c r="B193" s="89" t="s">
        <v>433</v>
      </c>
      <c r="AD193" s="95" t="s">
        <v>1068</v>
      </c>
      <c r="AE193" s="95">
        <f t="shared" ca="1" si="153"/>
        <v>0</v>
      </c>
    </row>
    <row r="194" spans="1:31" x14ac:dyDescent="0.2">
      <c r="A194" s="45" t="s">
        <v>247</v>
      </c>
      <c r="B194" s="89" t="s">
        <v>435</v>
      </c>
      <c r="AD194" s="95" t="s">
        <v>1069</v>
      </c>
      <c r="AE194" s="95">
        <f t="shared" ca="1" si="153"/>
        <v>0</v>
      </c>
    </row>
    <row r="195" spans="1:31" x14ac:dyDescent="0.2">
      <c r="A195" s="45" t="s">
        <v>252</v>
      </c>
      <c r="B195" s="89" t="s">
        <v>440</v>
      </c>
      <c r="AD195" s="95" t="s">
        <v>1070</v>
      </c>
      <c r="AE195" s="95">
        <f t="shared" ref="AE195:AE223" ca="1" si="154">INDIRECT($AP$5&amp;AD195)</f>
        <v>0</v>
      </c>
    </row>
    <row r="196" spans="1:31" x14ac:dyDescent="0.2">
      <c r="A196" s="45" t="s">
        <v>246</v>
      </c>
      <c r="B196" s="89" t="s">
        <v>434</v>
      </c>
      <c r="AD196" s="95" t="s">
        <v>1071</v>
      </c>
      <c r="AE196" s="95">
        <f t="shared" ca="1" si="154"/>
        <v>0</v>
      </c>
    </row>
    <row r="197" spans="1:31" x14ac:dyDescent="0.2">
      <c r="A197" s="45" t="s">
        <v>254</v>
      </c>
      <c r="B197" s="89" t="s">
        <v>442</v>
      </c>
      <c r="AD197" s="95" t="s">
        <v>1072</v>
      </c>
      <c r="AE197" s="95">
        <f t="shared" ca="1" si="154"/>
        <v>0</v>
      </c>
    </row>
    <row r="198" spans="1:31" x14ac:dyDescent="0.2">
      <c r="A198" s="45" t="s">
        <v>255</v>
      </c>
      <c r="B198" s="89" t="s">
        <v>443</v>
      </c>
      <c r="AD198" s="95" t="s">
        <v>1073</v>
      </c>
      <c r="AE198" s="95">
        <f t="shared" ca="1" si="154"/>
        <v>0</v>
      </c>
    </row>
    <row r="199" spans="1:31" x14ac:dyDescent="0.2">
      <c r="A199" s="45" t="s">
        <v>256</v>
      </c>
      <c r="B199" s="89" t="s">
        <v>444</v>
      </c>
      <c r="AD199" s="95" t="s">
        <v>1074</v>
      </c>
      <c r="AE199" s="95">
        <f t="shared" ca="1" si="154"/>
        <v>0</v>
      </c>
    </row>
    <row r="200" spans="1:31" x14ac:dyDescent="0.2">
      <c r="A200" s="45" t="s">
        <v>249</v>
      </c>
      <c r="B200" s="89" t="s">
        <v>437</v>
      </c>
      <c r="AD200" s="95" t="s">
        <v>1075</v>
      </c>
      <c r="AE200" s="95">
        <f t="shared" ca="1" si="154"/>
        <v>0</v>
      </c>
    </row>
    <row r="201" spans="1:31" x14ac:dyDescent="0.2">
      <c r="A201" s="45" t="s">
        <v>250</v>
      </c>
      <c r="B201" s="89" t="s">
        <v>438</v>
      </c>
      <c r="AD201" s="95" t="s">
        <v>1076</v>
      </c>
      <c r="AE201" s="95">
        <f t="shared" ca="1" si="154"/>
        <v>0</v>
      </c>
    </row>
    <row r="202" spans="1:31" x14ac:dyDescent="0.2">
      <c r="A202" s="45" t="s">
        <v>257</v>
      </c>
      <c r="B202" s="89" t="s">
        <v>445</v>
      </c>
      <c r="AD202" s="95" t="s">
        <v>1077</v>
      </c>
      <c r="AE202" s="95">
        <f t="shared" ca="1" si="154"/>
        <v>0</v>
      </c>
    </row>
    <row r="203" spans="1:31" x14ac:dyDescent="0.2">
      <c r="A203" s="45" t="s">
        <v>259</v>
      </c>
      <c r="B203" s="89" t="s">
        <v>447</v>
      </c>
      <c r="AD203" s="95" t="s">
        <v>1078</v>
      </c>
      <c r="AE203" s="95">
        <f t="shared" ca="1" si="154"/>
        <v>0</v>
      </c>
    </row>
    <row r="204" spans="1:31" x14ac:dyDescent="0.2">
      <c r="A204" s="45" t="s">
        <v>260</v>
      </c>
      <c r="B204" s="89" t="s">
        <v>448</v>
      </c>
      <c r="AD204" s="95" t="s">
        <v>1079</v>
      </c>
      <c r="AE204" s="95">
        <f t="shared" ca="1" si="154"/>
        <v>0</v>
      </c>
    </row>
    <row r="205" spans="1:31" x14ac:dyDescent="0.2">
      <c r="A205" s="45" t="s">
        <v>258</v>
      </c>
      <c r="B205" s="89" t="s">
        <v>446</v>
      </c>
      <c r="AD205" s="95" t="s">
        <v>1080</v>
      </c>
      <c r="AE205" s="95">
        <f t="shared" ca="1" si="154"/>
        <v>0</v>
      </c>
    </row>
    <row r="206" spans="1:31" x14ac:dyDescent="0.2">
      <c r="A206" s="45" t="s">
        <v>262</v>
      </c>
      <c r="B206" s="89" t="s">
        <v>450</v>
      </c>
      <c r="AD206" s="95" t="s">
        <v>1081</v>
      </c>
      <c r="AE206" s="95">
        <f t="shared" ca="1" si="154"/>
        <v>0</v>
      </c>
    </row>
    <row r="207" spans="1:31" x14ac:dyDescent="0.2">
      <c r="A207" s="45" t="s">
        <v>261</v>
      </c>
      <c r="B207" s="89" t="s">
        <v>449</v>
      </c>
      <c r="AD207" s="95" t="s">
        <v>1082</v>
      </c>
      <c r="AE207" s="95">
        <f t="shared" ca="1" si="154"/>
        <v>0</v>
      </c>
    </row>
    <row r="208" spans="1:31" x14ac:dyDescent="0.2">
      <c r="A208" s="45" t="s">
        <v>263</v>
      </c>
      <c r="B208" s="89" t="s">
        <v>451</v>
      </c>
      <c r="AD208" s="95" t="s">
        <v>1083</v>
      </c>
      <c r="AE208" s="95">
        <f t="shared" ca="1" si="154"/>
        <v>0</v>
      </c>
    </row>
    <row r="209" spans="1:31" x14ac:dyDescent="0.2">
      <c r="A209" s="45" t="s">
        <v>264</v>
      </c>
      <c r="B209" s="89" t="s">
        <v>452</v>
      </c>
      <c r="AD209" s="95" t="s">
        <v>1084</v>
      </c>
      <c r="AE209" s="95">
        <f t="shared" ca="1" si="154"/>
        <v>0</v>
      </c>
    </row>
    <row r="210" spans="1:31" x14ac:dyDescent="0.2">
      <c r="A210" s="45" t="s">
        <v>265</v>
      </c>
      <c r="B210" s="89" t="s">
        <v>453</v>
      </c>
      <c r="AD210" s="95" t="s">
        <v>1085</v>
      </c>
      <c r="AE210" s="95">
        <f t="shared" ca="1" si="154"/>
        <v>0</v>
      </c>
    </row>
    <row r="211" spans="1:31" x14ac:dyDescent="0.2">
      <c r="A211" s="45" t="s">
        <v>266</v>
      </c>
      <c r="B211" s="89" t="s">
        <v>454</v>
      </c>
      <c r="AD211" s="95" t="s">
        <v>1086</v>
      </c>
      <c r="AE211" s="95">
        <f t="shared" ca="1" si="154"/>
        <v>0</v>
      </c>
    </row>
    <row r="212" spans="1:31" x14ac:dyDescent="0.2">
      <c r="A212" s="45" t="s">
        <v>164</v>
      </c>
      <c r="B212" s="89" t="s">
        <v>350</v>
      </c>
      <c r="AD212" s="95" t="s">
        <v>1087</v>
      </c>
      <c r="AE212" s="95">
        <f t="shared" ca="1" si="154"/>
        <v>0</v>
      </c>
    </row>
    <row r="213" spans="1:31" x14ac:dyDescent="0.2">
      <c r="A213" s="45" t="s">
        <v>268</v>
      </c>
      <c r="B213" s="89" t="s">
        <v>456</v>
      </c>
      <c r="AD213" s="95" t="s">
        <v>1088</v>
      </c>
      <c r="AE213" s="95">
        <f t="shared" ca="1" si="154"/>
        <v>0</v>
      </c>
    </row>
    <row r="214" spans="1:31" x14ac:dyDescent="0.2">
      <c r="A214" s="45" t="s">
        <v>269</v>
      </c>
      <c r="B214" s="89" t="s">
        <v>457</v>
      </c>
      <c r="AD214" s="95" t="s">
        <v>1089</v>
      </c>
      <c r="AE214" s="95">
        <f t="shared" ca="1" si="154"/>
        <v>0</v>
      </c>
    </row>
    <row r="215" spans="1:31" x14ac:dyDescent="0.2">
      <c r="A215" s="45" t="s">
        <v>270</v>
      </c>
      <c r="B215" s="89" t="s">
        <v>458</v>
      </c>
      <c r="AD215" s="95" t="s">
        <v>1090</v>
      </c>
      <c r="AE215" s="95">
        <f t="shared" ca="1" si="154"/>
        <v>0</v>
      </c>
    </row>
    <row r="216" spans="1:31" x14ac:dyDescent="0.2">
      <c r="A216" s="120" t="s">
        <v>604</v>
      </c>
      <c r="B216" s="55" t="s">
        <v>61</v>
      </c>
      <c r="AD216" s="95" t="s">
        <v>1091</v>
      </c>
      <c r="AE216" s="95">
        <f t="shared" ca="1" si="154"/>
        <v>0</v>
      </c>
    </row>
    <row r="217" spans="1:31" x14ac:dyDescent="0.2">
      <c r="A217" s="120" t="s">
        <v>605</v>
      </c>
      <c r="B217" s="55" t="s">
        <v>61</v>
      </c>
      <c r="AD217" s="95" t="s">
        <v>1092</v>
      </c>
      <c r="AE217" s="95">
        <f t="shared" ca="1" si="154"/>
        <v>0</v>
      </c>
    </row>
    <row r="218" spans="1:31" x14ac:dyDescent="0.2">
      <c r="A218" s="120" t="s">
        <v>606</v>
      </c>
      <c r="B218" s="55" t="s">
        <v>61</v>
      </c>
      <c r="AD218" s="95" t="s">
        <v>1093</v>
      </c>
      <c r="AE218" s="95">
        <f t="shared" ca="1" si="154"/>
        <v>0</v>
      </c>
    </row>
    <row r="219" spans="1:31" x14ac:dyDescent="0.2">
      <c r="A219" s="120" t="s">
        <v>709</v>
      </c>
      <c r="B219" s="55" t="s">
        <v>61</v>
      </c>
      <c r="AD219" s="95" t="s">
        <v>1094</v>
      </c>
      <c r="AE219" s="95">
        <f t="shared" ca="1" si="154"/>
        <v>0</v>
      </c>
    </row>
    <row r="220" spans="1:31" x14ac:dyDescent="0.2">
      <c r="A220" s="120" t="s">
        <v>737</v>
      </c>
      <c r="B220" s="55" t="s">
        <v>61</v>
      </c>
      <c r="AD220" s="95" t="s">
        <v>1095</v>
      </c>
      <c r="AE220" s="95">
        <f t="shared" ca="1" si="154"/>
        <v>0</v>
      </c>
    </row>
    <row r="221" spans="1:31" x14ac:dyDescent="0.2">
      <c r="A221" s="53" t="s">
        <v>738</v>
      </c>
      <c r="B221" s="55" t="s">
        <v>61</v>
      </c>
      <c r="AD221" s="95" t="s">
        <v>1096</v>
      </c>
      <c r="AE221" s="95">
        <f t="shared" ca="1" si="154"/>
        <v>0</v>
      </c>
    </row>
    <row r="222" spans="1:31" x14ac:dyDescent="0.2">
      <c r="A222" s="53" t="s">
        <v>739</v>
      </c>
      <c r="B222" s="55" t="s">
        <v>61</v>
      </c>
      <c r="AD222" s="95" t="s">
        <v>1097</v>
      </c>
      <c r="AE222" s="95">
        <f t="shared" ca="1" si="154"/>
        <v>0</v>
      </c>
    </row>
    <row r="223" spans="1:31" x14ac:dyDescent="0.2">
      <c r="A223" s="53" t="s">
        <v>740</v>
      </c>
      <c r="B223" s="55" t="s">
        <v>61</v>
      </c>
      <c r="AD223" s="95" t="s">
        <v>1098</v>
      </c>
      <c r="AE223" s="95">
        <f t="shared" ca="1" si="154"/>
        <v>0</v>
      </c>
    </row>
  </sheetData>
  <sheetProtection password="D50B" sheet="1" objects="1" scenarios="1"/>
  <sortState ref="A1:B220">
    <sortCondition ref="A1"/>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139"/>
  <sheetViews>
    <sheetView showGridLines="0" topLeftCell="A2" zoomScale="110" zoomScaleNormal="110" zoomScaleSheetLayoutView="40" workbookViewId="0">
      <selection activeCell="D35" sqref="D35"/>
    </sheetView>
  </sheetViews>
  <sheetFormatPr defaultColWidth="9.140625" defaultRowHeight="13.5" customHeight="1" x14ac:dyDescent="0.2"/>
  <cols>
    <col min="1" max="1" width="7.140625" style="82" customWidth="1"/>
    <col min="2" max="3" width="10.140625" style="82" hidden="1" customWidth="1"/>
    <col min="4" max="4" width="24.7109375" style="160" bestFit="1" customWidth="1"/>
    <col min="5" max="5" width="36.28515625" style="146" customWidth="1"/>
    <col min="6" max="7" width="5" style="82" customWidth="1"/>
    <col min="8" max="8" width="5.85546875" style="146" hidden="1" customWidth="1"/>
    <col min="9" max="9" width="4.42578125" style="146" hidden="1" customWidth="1"/>
    <col min="10" max="10" width="9.140625" style="146" hidden="1" customWidth="1"/>
    <col min="11" max="21" width="5.7109375" style="146" customWidth="1"/>
    <col min="22" max="22" width="5.7109375" style="149" customWidth="1"/>
    <col min="23" max="23" width="5.7109375" style="146" customWidth="1"/>
    <col min="24" max="25" width="5.7109375" style="114" customWidth="1"/>
    <col min="26" max="27" width="9.140625" style="82"/>
    <col min="28" max="28" width="19.42578125" style="82" bestFit="1" customWidth="1"/>
    <col min="29" max="29" width="11.5703125" style="82" bestFit="1" customWidth="1"/>
    <col min="30" max="16384" width="9.140625" style="82"/>
  </cols>
  <sheetData>
    <row r="1" spans="1:33" s="134" customFormat="1" ht="15.75" x14ac:dyDescent="0.25">
      <c r="A1" s="243" t="str">
        <f>Settings!C5</f>
        <v>22. BOHEMIA CUP - CROSSBOW FIELD</v>
      </c>
      <c r="B1" s="243"/>
      <c r="C1" s="243"/>
      <c r="D1" s="243"/>
      <c r="E1" s="243"/>
      <c r="F1" s="243"/>
      <c r="G1" s="243"/>
      <c r="H1" s="243"/>
      <c r="I1" s="243"/>
      <c r="J1" s="243"/>
      <c r="K1" s="243"/>
      <c r="L1" s="243"/>
      <c r="M1" s="243"/>
      <c r="N1" s="243"/>
      <c r="O1" s="243"/>
      <c r="P1" s="243"/>
      <c r="Q1" s="243"/>
      <c r="R1" s="243"/>
      <c r="S1" s="243"/>
      <c r="T1" s="243"/>
      <c r="U1" s="243"/>
      <c r="V1" s="243"/>
      <c r="W1" s="243"/>
      <c r="X1" s="243"/>
      <c r="Y1" s="243"/>
    </row>
    <row r="2" spans="1:33" s="134" customFormat="1" ht="15.75" x14ac:dyDescent="0.25">
      <c r="A2" s="243" t="str">
        <f>Settings!$C$7&amp;", "&amp;Settings!$C$6</f>
        <v>Nový Stadion, TJ Jiskra, Otrokovice</v>
      </c>
      <c r="B2" s="243"/>
      <c r="C2" s="243"/>
      <c r="D2" s="243"/>
      <c r="E2" s="243"/>
      <c r="F2" s="243"/>
      <c r="G2" s="243"/>
      <c r="H2" s="243"/>
      <c r="I2" s="243"/>
      <c r="J2" s="243"/>
      <c r="K2" s="243"/>
      <c r="L2" s="243"/>
      <c r="M2" s="243"/>
      <c r="N2" s="243"/>
      <c r="O2" s="243"/>
      <c r="P2" s="243"/>
      <c r="Q2" s="243"/>
      <c r="R2" s="243"/>
      <c r="S2" s="243"/>
      <c r="T2" s="243"/>
      <c r="U2" s="243"/>
      <c r="V2" s="243"/>
      <c r="W2" s="243"/>
      <c r="X2" s="243"/>
      <c r="Y2" s="243"/>
    </row>
    <row r="3" spans="1:33" s="134" customFormat="1" ht="15.75" x14ac:dyDescent="0.25">
      <c r="A3" s="243" t="str">
        <f>Settings!$C$8</f>
        <v>14.-16. August 2020</v>
      </c>
      <c r="B3" s="243"/>
      <c r="C3" s="243"/>
      <c r="D3" s="243"/>
      <c r="E3" s="243"/>
      <c r="F3" s="243"/>
      <c r="G3" s="243"/>
      <c r="H3" s="243"/>
      <c r="I3" s="243"/>
      <c r="J3" s="243"/>
      <c r="K3" s="243"/>
      <c r="L3" s="243"/>
      <c r="M3" s="243"/>
      <c r="N3" s="243"/>
      <c r="O3" s="243"/>
      <c r="P3" s="243"/>
      <c r="Q3" s="243"/>
      <c r="R3" s="243"/>
      <c r="S3" s="243"/>
      <c r="T3" s="243"/>
      <c r="U3" s="243"/>
      <c r="V3" s="243"/>
      <c r="W3" s="243"/>
      <c r="X3" s="243"/>
      <c r="Y3" s="243"/>
    </row>
    <row r="4" spans="1:33" s="134" customFormat="1" ht="15.75" x14ac:dyDescent="0.25">
      <c r="A4" s="243" t="str">
        <f>VLOOKUP(B5,Translation!$A$2:$E$100,Data!$AP$2,FALSE)</f>
        <v>Start List</v>
      </c>
      <c r="B4" s="243"/>
      <c r="C4" s="243"/>
      <c r="D4" s="243"/>
      <c r="E4" s="243"/>
      <c r="F4" s="243"/>
      <c r="G4" s="243"/>
      <c r="H4" s="243"/>
      <c r="I4" s="243"/>
      <c r="J4" s="243"/>
      <c r="K4" s="243"/>
      <c r="L4" s="243"/>
      <c r="M4" s="243"/>
      <c r="N4" s="243"/>
      <c r="O4" s="243"/>
      <c r="P4" s="243"/>
      <c r="Q4" s="243"/>
      <c r="R4" s="243"/>
      <c r="S4" s="243"/>
      <c r="T4" s="243"/>
      <c r="U4" s="243"/>
      <c r="V4" s="243"/>
      <c r="W4" s="243"/>
      <c r="X4" s="243"/>
      <c r="Y4" s="243"/>
    </row>
    <row r="5" spans="1:33" s="139" customFormat="1" ht="13.5" customHeight="1" x14ac:dyDescent="0.2">
      <c r="A5" s="135" t="s">
        <v>578</v>
      </c>
      <c r="B5" s="135" t="s">
        <v>573</v>
      </c>
      <c r="C5" s="135"/>
      <c r="D5" s="136" t="s">
        <v>570</v>
      </c>
      <c r="E5" s="137" t="s">
        <v>572</v>
      </c>
      <c r="F5" s="139" t="s">
        <v>571</v>
      </c>
      <c r="G5" s="139" t="s">
        <v>871</v>
      </c>
      <c r="H5" s="138"/>
      <c r="I5" s="137"/>
      <c r="J5" s="137"/>
      <c r="K5" s="137">
        <v>1</v>
      </c>
      <c r="L5" s="137">
        <v>2</v>
      </c>
      <c r="M5" s="137">
        <v>3</v>
      </c>
      <c r="N5" s="137">
        <v>4</v>
      </c>
      <c r="O5" s="137">
        <v>5</v>
      </c>
      <c r="P5" s="137">
        <v>6</v>
      </c>
      <c r="Q5" s="137">
        <v>7</v>
      </c>
      <c r="R5" s="137">
        <v>8</v>
      </c>
      <c r="S5" s="137">
        <v>9</v>
      </c>
      <c r="T5" s="137">
        <v>10</v>
      </c>
      <c r="U5" s="137">
        <v>11</v>
      </c>
      <c r="V5" s="137">
        <v>12</v>
      </c>
      <c r="W5" s="138">
        <v>13</v>
      </c>
      <c r="X5" s="137">
        <v>14</v>
      </c>
      <c r="Y5" s="137">
        <v>15</v>
      </c>
    </row>
    <row r="6" spans="1:33" ht="13.5" customHeight="1" x14ac:dyDescent="0.2">
      <c r="A6" s="241" t="str">
        <f>VLOOKUP(A5,Translation!$A$2:$E$100,Data!$AP$2,FALSE)</f>
        <v>Target</v>
      </c>
      <c r="B6" s="242" t="s">
        <v>602</v>
      </c>
      <c r="C6" s="242" t="s">
        <v>876</v>
      </c>
      <c r="D6" s="241" t="str">
        <f>VLOOKUP(D5,Translation!$A$2:$E$100,Data!$AP$2,FALSE)</f>
        <v>Competitor</v>
      </c>
      <c r="E6" s="241" t="str">
        <f>VLOOKUP(E5,Translation!$A$2:$E$100,Data!$AP$2,FALSE)</f>
        <v>Country</v>
      </c>
      <c r="F6" s="241" t="str">
        <f>VLOOKUP(F5,Translation!$A$2:$E$100,Data!$AP$2,FALSE)</f>
        <v>Cat.</v>
      </c>
      <c r="G6" s="241" t="str">
        <f>VLOOKUP(G5,Translation!$A$2:$E$100,Data!$AP$2,FALSE)</f>
        <v>Gender</v>
      </c>
      <c r="H6" s="241" t="s">
        <v>580</v>
      </c>
      <c r="I6" s="244" t="s">
        <v>581</v>
      </c>
      <c r="J6" s="244" t="s">
        <v>582</v>
      </c>
      <c r="K6" s="241" t="str">
        <f>VLOOKUP(Settings!$C$3,Data!$AI$42:$AX$43,'Start List'!K5+1,FALSE)</f>
        <v>65m</v>
      </c>
      <c r="L6" s="241" t="str">
        <f>VLOOKUP(Settings!$C$3,Data!$AI$42:$AX$43,'Start List'!L5+1,FALSE)</f>
        <v>R10</v>
      </c>
      <c r="M6" s="241">
        <f>VLOOKUP(Settings!$C$3,Data!$AI$42:$AX$43,'Start List'!M5+1,FALSE)</f>
        <v>10</v>
      </c>
      <c r="N6" s="241" t="str">
        <f>VLOOKUP(Settings!$C$3,Data!$AI$42:$AX$43,'Start List'!N5+1,FALSE)</f>
        <v/>
      </c>
      <c r="O6" s="241" t="str">
        <f>VLOOKUP(Settings!$C$3,Data!$AI$42:$AX$43,'Start List'!O5+1,FALSE)</f>
        <v>50m</v>
      </c>
      <c r="P6" s="241" t="str">
        <f>VLOOKUP(Settings!$C$3,Data!$AI$42:$AX$43,'Start List'!P5+1,FALSE)</f>
        <v>R10</v>
      </c>
      <c r="Q6" s="241">
        <f>VLOOKUP(Settings!$C$3,Data!$AI$42:$AX$43,'Start List'!Q5+1,FALSE)</f>
        <v>10</v>
      </c>
      <c r="R6" s="241" t="str">
        <f>VLOOKUP(Settings!$C$3,Data!$AI$42:$AX$43,'Start List'!R5+1,FALSE)</f>
        <v/>
      </c>
      <c r="S6" s="241" t="str">
        <f>VLOOKUP(Settings!$C$3,Data!$AI$42:$AX$43,'Start List'!S5+1,FALSE)</f>
        <v>35m</v>
      </c>
      <c r="T6" s="241" t="str">
        <f>VLOOKUP(Settings!$C$3,Data!$AI$42:$AX$43,'Start List'!T5+1,FALSE)</f>
        <v>R10</v>
      </c>
      <c r="U6" s="241">
        <f>VLOOKUP(Settings!$C$3,Data!$AI$42:$AX$43,'Start List'!U5+1,FALSE)</f>
        <v>10</v>
      </c>
      <c r="V6" s="241" t="str">
        <f>VLOOKUP(Settings!$C$3,Data!$AI$42:$AX$43,'Start List'!V5+1,FALSE)</f>
        <v/>
      </c>
      <c r="W6" s="241" t="str">
        <f>VLOOKUP(Settings!$C$3,Data!$AI$42:$AX$43,'Start List'!W5+1,FALSE)</f>
        <v>Σ</v>
      </c>
      <c r="X6" s="241" t="str">
        <f>VLOOKUP(Settings!$C$3,Data!$AI$42:$AX$43,'Start List'!X5+1,FALSE)</f>
        <v>R10</v>
      </c>
      <c r="Y6" s="241">
        <f>VLOOKUP(Settings!$C$3,Data!$AI$42:$AX$43,'Start List'!Y5+1,FALSE)</f>
        <v>10</v>
      </c>
    </row>
    <row r="7" spans="1:33" ht="13.5" customHeight="1" x14ac:dyDescent="0.2">
      <c r="A7" s="241"/>
      <c r="B7" s="241"/>
      <c r="C7" s="241"/>
      <c r="D7" s="241"/>
      <c r="E7" s="241"/>
      <c r="F7" s="241"/>
      <c r="G7" s="241"/>
      <c r="H7" s="241"/>
      <c r="I7" s="245"/>
      <c r="J7" s="245"/>
      <c r="K7" s="241"/>
      <c r="L7" s="241"/>
      <c r="M7" s="241"/>
      <c r="N7" s="241"/>
      <c r="O7" s="241"/>
      <c r="P7" s="241"/>
      <c r="Q7" s="241"/>
      <c r="R7" s="241"/>
      <c r="S7" s="241"/>
      <c r="T7" s="241"/>
      <c r="U7" s="241"/>
      <c r="V7" s="241"/>
      <c r="W7" s="241"/>
      <c r="X7" s="241"/>
      <c r="Y7" s="241"/>
    </row>
    <row r="8" spans="1:33" s="143" customFormat="1" ht="12.75" x14ac:dyDescent="0.2">
      <c r="A8" s="140"/>
      <c r="B8" s="140"/>
      <c r="C8" s="140"/>
      <c r="D8" s="141"/>
      <c r="E8" s="140"/>
      <c r="F8" s="140"/>
      <c r="G8" s="140"/>
      <c r="H8" s="142"/>
      <c r="I8" s="140"/>
      <c r="J8" s="140"/>
      <c r="K8" s="140"/>
      <c r="L8" s="140"/>
      <c r="M8" s="140"/>
      <c r="N8" s="140"/>
      <c r="O8" s="140"/>
      <c r="P8" s="140"/>
      <c r="Q8" s="140"/>
      <c r="R8" s="140"/>
      <c r="S8" s="140"/>
      <c r="T8" s="140"/>
      <c r="U8" s="140"/>
      <c r="V8" s="140"/>
      <c r="W8" s="140"/>
      <c r="X8" s="140"/>
      <c r="Y8" s="140"/>
    </row>
    <row r="9" spans="1:33" ht="12.75" hidden="1" x14ac:dyDescent="0.2">
      <c r="A9" s="144"/>
      <c r="B9" s="144"/>
      <c r="C9" s="144"/>
      <c r="D9" s="145">
        <v>10</v>
      </c>
      <c r="E9" s="82">
        <f>D9+COUNTIF(G:G,F9)-1</f>
        <v>27</v>
      </c>
      <c r="F9" s="147" t="str">
        <f>IF(COUNTIF(F15:$F$120,Data!AJ2)=0,"",Data!AJ2)</f>
        <v>M</v>
      </c>
      <c r="G9" s="147"/>
      <c r="H9" s="82"/>
      <c r="I9" s="147">
        <f t="shared" ref="I9:I14" si="0">LEN(J9)</f>
        <v>3</v>
      </c>
      <c r="J9" s="147" t="str">
        <f>IFERROR(VLOOKUP(F9,Data!$AJ$2:$AK$7,2,FALSE),-Data!AP9*10000000000000000000)</f>
        <v>Men</v>
      </c>
      <c r="K9" s="147">
        <f>COUNTIF('Start List'!J:J,J9)-1</f>
        <v>4</v>
      </c>
      <c r="L9" s="147">
        <v>15</v>
      </c>
      <c r="M9" s="147">
        <f t="shared" ref="M9:M14" si="1">L9+K9-1</f>
        <v>18</v>
      </c>
      <c r="N9" s="147" t="str">
        <f t="shared" ref="N9:N14" si="2">"'Start List'!$B$"&amp;L9&amp;":$B$"&amp;M9</f>
        <v>'Start List'!$B$15:$B$18</v>
      </c>
      <c r="O9" s="147" t="str">
        <f>"'Men-Women'!$D$"&amp;D9&amp;":$D$"&amp;E9</f>
        <v>'Men-Women'!$D$10:$D$27</v>
      </c>
      <c r="P9" s="130" t="str">
        <f>"Absolute!$B$9:$B$139"</f>
        <v>Absolute!$B$9:$B$139</v>
      </c>
      <c r="Q9" s="148" t="str">
        <f t="shared" ref="Q9:Q14" si="3">F9</f>
        <v>M</v>
      </c>
      <c r="R9" s="130"/>
      <c r="U9" s="149"/>
      <c r="V9" s="146"/>
    </row>
    <row r="10" spans="1:33" ht="12.75" hidden="1" x14ac:dyDescent="0.2">
      <c r="A10" s="144"/>
      <c r="B10" s="144"/>
      <c r="C10" s="144"/>
      <c r="D10" s="145">
        <f>E9+2</f>
        <v>29</v>
      </c>
      <c r="E10" s="82">
        <f>D10+COUNTIF(G:G,F10)-1</f>
        <v>42</v>
      </c>
      <c r="F10" s="147" t="str">
        <f>IF(COUNTIF(F15:$F$120,Data!AJ3)=0,"",Data!AJ3)</f>
        <v>W</v>
      </c>
      <c r="G10" s="147"/>
      <c r="H10" s="82"/>
      <c r="I10" s="147">
        <f t="shared" si="0"/>
        <v>5</v>
      </c>
      <c r="J10" s="147" t="str">
        <f>IFERROR(VLOOKUP(F10,Data!$AJ$2:$AK$7,2,FALSE),-Data!AP10*10000000000000000000)</f>
        <v>Women</v>
      </c>
      <c r="K10" s="147">
        <f>COUNTIF('Start List'!J:J,J10)-1</f>
        <v>6</v>
      </c>
      <c r="L10" s="147">
        <f>M9+1</f>
        <v>19</v>
      </c>
      <c r="M10" s="147">
        <f t="shared" si="1"/>
        <v>24</v>
      </c>
      <c r="N10" s="147" t="str">
        <f t="shared" si="2"/>
        <v>'Start List'!$B$19:$B$24</v>
      </c>
      <c r="O10" s="147" t="str">
        <f>"'Men-Women'!$D$"&amp;D10&amp;":$D$"&amp;E10</f>
        <v>'Men-Women'!$D$29:$D$42</v>
      </c>
      <c r="P10" s="130"/>
      <c r="Q10" s="148" t="str">
        <f t="shared" si="3"/>
        <v>W</v>
      </c>
      <c r="R10" s="130"/>
      <c r="U10" s="149"/>
      <c r="V10" s="146"/>
    </row>
    <row r="11" spans="1:33" ht="12.75" hidden="1" x14ac:dyDescent="0.2">
      <c r="A11" s="144"/>
      <c r="B11" s="144"/>
      <c r="C11" s="144"/>
      <c r="D11" s="145"/>
      <c r="E11" s="82"/>
      <c r="F11" s="147" t="str">
        <f>IF(COUNTIF(F15:$F$120,Data!AJ4)=0,"",Data!AJ4)</f>
        <v>J</v>
      </c>
      <c r="G11" s="147"/>
      <c r="H11" s="82"/>
      <c r="I11" s="147">
        <f t="shared" si="0"/>
        <v>7</v>
      </c>
      <c r="J11" s="147" t="str">
        <f>IFERROR(VLOOKUP(F11,Data!$AJ$2:$AK$7,2,FALSE),-Data!AP11*10000000000000000000)</f>
        <v>Juniors</v>
      </c>
      <c r="K11" s="147">
        <f>COUNTIF('Start List'!J:J,J11)-1</f>
        <v>3</v>
      </c>
      <c r="L11" s="147">
        <f>M10+1</f>
        <v>25</v>
      </c>
      <c r="M11" s="147">
        <f t="shared" si="1"/>
        <v>27</v>
      </c>
      <c r="N11" s="147" t="str">
        <f t="shared" si="2"/>
        <v>'Start List'!$B$25:$B$27</v>
      </c>
      <c r="P11" s="130"/>
      <c r="Q11" s="148" t="str">
        <f t="shared" si="3"/>
        <v>J</v>
      </c>
      <c r="R11" s="130"/>
      <c r="U11" s="149"/>
      <c r="V11" s="146"/>
    </row>
    <row r="12" spans="1:33" ht="12.75" hidden="1" x14ac:dyDescent="0.2">
      <c r="A12" s="144"/>
      <c r="B12" s="144"/>
      <c r="C12" s="144"/>
      <c r="D12" s="145"/>
      <c r="E12" s="82"/>
      <c r="F12" s="147" t="str">
        <f>IF(COUNTIF(F15:$F$120,Data!AJ5)=0,"",Data!AJ5)</f>
        <v>C</v>
      </c>
      <c r="G12" s="147"/>
      <c r="H12" s="82"/>
      <c r="I12" s="147">
        <f t="shared" si="0"/>
        <v>8</v>
      </c>
      <c r="J12" s="147" t="str">
        <f>IFERROR(VLOOKUP(F12,Data!$AJ$2:$AK$7,2,FALSE),-Data!AP12*10000000000000000000)</f>
        <v xml:space="preserve">Cadets  </v>
      </c>
      <c r="K12" s="147">
        <f>COUNTIF('Start List'!J:J,J12)-1</f>
        <v>10</v>
      </c>
      <c r="L12" s="147">
        <f>M11+1</f>
        <v>28</v>
      </c>
      <c r="M12" s="147">
        <f t="shared" si="1"/>
        <v>37</v>
      </c>
      <c r="N12" s="147" t="str">
        <f t="shared" si="2"/>
        <v>'Start List'!$B$28:$B$37</v>
      </c>
      <c r="P12" s="130"/>
      <c r="Q12" s="148" t="str">
        <f t="shared" si="3"/>
        <v>C</v>
      </c>
      <c r="R12" s="130"/>
      <c r="U12" s="149"/>
      <c r="V12" s="146"/>
    </row>
    <row r="13" spans="1:33" ht="12.75" hidden="1" x14ac:dyDescent="0.2">
      <c r="A13" s="144"/>
      <c r="B13" s="144"/>
      <c r="C13" s="144"/>
      <c r="D13" s="145"/>
      <c r="E13" s="82"/>
      <c r="F13" s="147" t="str">
        <f>IF(COUNTIF(F15:$F$120,Data!AJ6)=0,"",Data!AJ6)</f>
        <v>SM</v>
      </c>
      <c r="G13" s="147"/>
      <c r="H13" s="82"/>
      <c r="I13" s="147">
        <f t="shared" si="0"/>
        <v>10</v>
      </c>
      <c r="J13" s="147" t="str">
        <f>IFERROR(VLOOKUP(F13,Data!$AJ$2:$AK$7,2,FALSE),-Data!AP13*10000000000000000000)</f>
        <v>Senior Men</v>
      </c>
      <c r="K13" s="147">
        <f>COUNTIF('Start List'!J:J,J13)-1</f>
        <v>6</v>
      </c>
      <c r="L13" s="147">
        <f>M12+1</f>
        <v>38</v>
      </c>
      <c r="M13" s="147">
        <f t="shared" si="1"/>
        <v>43</v>
      </c>
      <c r="N13" s="147" t="str">
        <f t="shared" si="2"/>
        <v>'Start List'!$B$38:$B$43</v>
      </c>
      <c r="P13" s="130"/>
      <c r="Q13" s="148" t="str">
        <f t="shared" si="3"/>
        <v>SM</v>
      </c>
      <c r="R13" s="130"/>
      <c r="U13" s="149"/>
      <c r="V13" s="146"/>
    </row>
    <row r="14" spans="1:33" ht="12.75" hidden="1" x14ac:dyDescent="0.2">
      <c r="A14" s="144" t="s">
        <v>610</v>
      </c>
      <c r="B14" s="144"/>
      <c r="C14" s="144"/>
      <c r="D14" s="145"/>
      <c r="E14" s="82"/>
      <c r="F14" s="147" t="str">
        <f>IF(COUNTIF(F15:$F$120,Data!AJ7)=0,"",Data!AJ7)</f>
        <v>SW</v>
      </c>
      <c r="G14" s="147"/>
      <c r="H14" s="82"/>
      <c r="I14" s="147">
        <f t="shared" si="0"/>
        <v>12</v>
      </c>
      <c r="J14" s="147" t="str">
        <f>IFERROR(VLOOKUP(F14,Data!$AJ$2:$AK$7,2,FALSE),-Data!AP14*10000000000000000000)</f>
        <v>Senior Women</v>
      </c>
      <c r="K14" s="147">
        <f>COUNTIF('Start List'!J:J,J14)-1</f>
        <v>3</v>
      </c>
      <c r="L14" s="147">
        <f>M13+1</f>
        <v>44</v>
      </c>
      <c r="M14" s="147">
        <f t="shared" si="1"/>
        <v>46</v>
      </c>
      <c r="N14" s="147" t="str">
        <f t="shared" si="2"/>
        <v>'Start List'!$B$44:$B$46</v>
      </c>
      <c r="P14" s="130"/>
      <c r="Q14" s="148" t="str">
        <f t="shared" si="3"/>
        <v>SW</v>
      </c>
      <c r="R14" s="130"/>
      <c r="S14" s="130"/>
      <c r="T14" s="130"/>
      <c r="U14" s="150"/>
      <c r="V14" s="146"/>
    </row>
    <row r="15" spans="1:33" ht="12.75" x14ac:dyDescent="0.2">
      <c r="A15" s="151">
        <v>1</v>
      </c>
      <c r="B15" s="151">
        <f>IF(A15="",-1,IF(Data!$AP$3=2,IFERROR(SUM('Start List'!W15,X15/100,-A15/1000000),IFERROR(SUM(W15,-A15/1000000),0)),IFERROR(SUM(W15,X15/100,Y15/10000,-A15/1000000),IFERROR(SUM(W15,-A15/1000000),0))))</f>
        <v>865.40199899999993</v>
      </c>
      <c r="C15" s="151">
        <f>IF(A15="",-1,IF(Data!$AP$3=2,IFERROR(SUM('Start List'!W15,X15/100,-A15/1000000),IFERROR(SUM(W15,-A15/1000000),0)),IFERROR(SUM(W15,X15/100,Y15/10000,-A15/1000000),IFERROR(SUM(W15,-A15/1000000),0))))+IF(OR(G15="M",G15="H"),1000,0)</f>
        <v>1865.4019989999999</v>
      </c>
      <c r="D15" s="213" t="s">
        <v>1139</v>
      </c>
      <c r="E15" s="214" t="s">
        <v>61</v>
      </c>
      <c r="F15" s="215" t="s">
        <v>4</v>
      </c>
      <c r="G15" s="215" t="s">
        <v>4</v>
      </c>
      <c r="H15" s="155" t="e">
        <f>VLOOKUP(E15,Data!$A$1:$B$400,2,FALSE)</f>
        <v>#N/A</v>
      </c>
      <c r="I15" s="82">
        <f>IF(LEN(J15)=0,100,LEN(J15))</f>
        <v>3</v>
      </c>
      <c r="J15" s="87" t="str">
        <f>IF(F15="","",VLOOKUP(F15,$F$9:$J$14,5,FALSE))</f>
        <v>Men</v>
      </c>
      <c r="K15" s="216">
        <v>280</v>
      </c>
      <c r="L15" s="216">
        <v>8</v>
      </c>
      <c r="M15" s="216">
        <v>6</v>
      </c>
      <c r="N15" s="216" t="str">
        <f>""</f>
        <v/>
      </c>
      <c r="O15" s="216">
        <v>293</v>
      </c>
      <c r="P15" s="216">
        <v>15</v>
      </c>
      <c r="Q15" s="216">
        <v>9</v>
      </c>
      <c r="R15" s="216" t="str">
        <f>""</f>
        <v/>
      </c>
      <c r="S15" s="216">
        <v>292</v>
      </c>
      <c r="T15" s="216">
        <v>17</v>
      </c>
      <c r="U15" s="216">
        <v>5</v>
      </c>
      <c r="V15" s="216" t="str">
        <f t="shared" ref="V15:V46" si="4">IF(OR(A14=COUNTA(D:D)-2,A14=""),"",IF(V$6="IR300",SUM(Q15:U15),""))</f>
        <v/>
      </c>
      <c r="W15" s="216">
        <f>IF(OR(A15=COUNTA(D:D)-3,A15=""),"",IF(V$6="IR300",SUM(P15,V15),SUM(K15,O15,S15)))</f>
        <v>865</v>
      </c>
      <c r="X15" s="216">
        <f t="shared" ref="X15:X46" si="5">IF(OR(X$6=10,A15=""),"",SUM(L15,P15,T15))</f>
        <v>40</v>
      </c>
      <c r="Y15" s="216">
        <f t="shared" ref="Y15:Y46" si="6">IF(OR(A15="",Y$6="Notes"),"",SUM(M15,Q15,U15))</f>
        <v>20</v>
      </c>
      <c r="Z15" s="150"/>
    </row>
    <row r="16" spans="1:33" ht="13.5" customHeight="1" x14ac:dyDescent="0.2">
      <c r="A16" s="151">
        <f>IF(OR(A15=COUNTA(D:D)-4,A15=""),"",A15+1)</f>
        <v>2</v>
      </c>
      <c r="B16" s="151">
        <f>IF(A16="",-1,IF(Data!$AP$3=2,IFERROR(SUM('Start List'!W16,X16/100,-A16/1000000),IFERROR(SUM(W16,-A16/1000000),0)),IFERROR(SUM(W16,X16/100,Y16/10000,-A16/1000000),IFERROR(SUM(W16,-A16/1000000),0))))</f>
        <v>869.42209800000001</v>
      </c>
      <c r="C16" s="151">
        <f>IF(A16="",-1,IF(Data!$AP$3=2,IFERROR(SUM('Start List'!W16,X16/100,-A16/1000000),IFERROR(SUM(W16,-A16/1000000),0)),IFERROR(SUM(W16,X16/100,Y16/10000,-A16/1000000),IFERROR(SUM(W16,-A16/1000000),0))))+IF(OR(G16="M",G16="H"),1000,0)</f>
        <v>1869.422098</v>
      </c>
      <c r="D16" s="213" t="s">
        <v>1140</v>
      </c>
      <c r="E16" s="214" t="s">
        <v>1141</v>
      </c>
      <c r="F16" s="215" t="s">
        <v>4</v>
      </c>
      <c r="G16" s="215" t="s">
        <v>4</v>
      </c>
      <c r="H16" s="155" t="e">
        <f>VLOOKUP(E16,Data!$A$1:$B$400,2,FALSE)</f>
        <v>#N/A</v>
      </c>
      <c r="I16" s="82">
        <f t="shared" ref="I16:I27" si="7">IF(LEN(J16)=0,100,LEN(J16))</f>
        <v>3</v>
      </c>
      <c r="J16" s="87" t="str">
        <f t="shared" ref="J16:J79" si="8">IF(F16="","",VLOOKUP(F16,$F$9:$J$14,5,FALSE))</f>
        <v>Men</v>
      </c>
      <c r="K16" s="216">
        <v>280</v>
      </c>
      <c r="L16" s="216">
        <v>9</v>
      </c>
      <c r="M16" s="216">
        <v>5</v>
      </c>
      <c r="N16" s="216" t="str">
        <f>""</f>
        <v/>
      </c>
      <c r="O16" s="216">
        <v>295</v>
      </c>
      <c r="P16" s="216">
        <v>18</v>
      </c>
      <c r="Q16" s="216">
        <v>7</v>
      </c>
      <c r="R16" s="216" t="str">
        <f>""</f>
        <v/>
      </c>
      <c r="S16" s="216">
        <v>294</v>
      </c>
      <c r="T16" s="216">
        <v>15</v>
      </c>
      <c r="U16" s="216">
        <v>9</v>
      </c>
      <c r="V16" s="216" t="str">
        <f t="shared" si="4"/>
        <v/>
      </c>
      <c r="W16" s="216">
        <f t="shared" ref="W16:W79" si="9">IF(OR(A16=COUNTA(D:D)-3,A16=""),"",IF(V$6="IR300",SUM(P16,V16),SUM(K16,O16,S16)))</f>
        <v>869</v>
      </c>
      <c r="X16" s="216">
        <f t="shared" si="5"/>
        <v>42</v>
      </c>
      <c r="Y16" s="216">
        <f t="shared" si="6"/>
        <v>21</v>
      </c>
      <c r="Z16" s="150"/>
      <c r="AG16" s="120"/>
    </row>
    <row r="17" spans="1:33" s="83" customFormat="1" ht="13.5" customHeight="1" x14ac:dyDescent="0.2">
      <c r="A17" s="151">
        <f t="shared" ref="A17:A80" si="10">IF(OR(A16=COUNTA(D:D)-4,A16=""),"",A16+1)</f>
        <v>3</v>
      </c>
      <c r="B17" s="151">
        <f>IF(A17="",-1,IF(Data!$AP$3=2,IFERROR(SUM('Start List'!W17,X17/100,-A17/1000000),IFERROR(SUM(W17,-A17/1000000),0)),IFERROR(SUM(W17,X17/100,Y17/10000,-A17/1000000),IFERROR(SUM(W17,-A17/1000000),0))))</f>
        <v>810.17109699999992</v>
      </c>
      <c r="C17" s="151">
        <f>IF(A17="",-1,IF(Data!$AP$3=2,IFERROR(SUM('Start List'!W17,X17/100,-A17/1000000),IFERROR(SUM(W17,-A17/1000000),0)),IFERROR(SUM(W17,X17/100,Y17/10000,-A17/1000000),IFERROR(SUM(W17,-A17/1000000),0))))+IF(OR(G17="M",G17="H"),1000,0)</f>
        <v>1810.1710969999999</v>
      </c>
      <c r="D17" s="213" t="s">
        <v>1142</v>
      </c>
      <c r="E17" s="214" t="s">
        <v>61</v>
      </c>
      <c r="F17" s="215" t="s">
        <v>4</v>
      </c>
      <c r="G17" s="215" t="s">
        <v>4</v>
      </c>
      <c r="H17" s="155" t="e">
        <f>VLOOKUP(E17,Data!$A$1:$B$400,2,FALSE)</f>
        <v>#N/A</v>
      </c>
      <c r="I17" s="82">
        <f t="shared" si="7"/>
        <v>3</v>
      </c>
      <c r="J17" s="87" t="str">
        <f t="shared" si="8"/>
        <v>Men</v>
      </c>
      <c r="K17" s="216">
        <v>256</v>
      </c>
      <c r="L17" s="216">
        <v>3</v>
      </c>
      <c r="M17" s="216">
        <v>2</v>
      </c>
      <c r="N17" s="216" t="str">
        <f>""</f>
        <v/>
      </c>
      <c r="O17" s="216">
        <v>277</v>
      </c>
      <c r="P17" s="216">
        <v>6</v>
      </c>
      <c r="Q17" s="216">
        <v>4</v>
      </c>
      <c r="R17" s="216" t="str">
        <f>""</f>
        <v/>
      </c>
      <c r="S17" s="216">
        <v>277</v>
      </c>
      <c r="T17" s="216">
        <v>8</v>
      </c>
      <c r="U17" s="216">
        <v>5</v>
      </c>
      <c r="V17" s="216" t="str">
        <f t="shared" si="4"/>
        <v/>
      </c>
      <c r="W17" s="216">
        <f t="shared" si="9"/>
        <v>810</v>
      </c>
      <c r="X17" s="216">
        <f t="shared" si="5"/>
        <v>17</v>
      </c>
      <c r="Y17" s="216">
        <f t="shared" si="6"/>
        <v>11</v>
      </c>
      <c r="Z17" s="150"/>
      <c r="AA17" s="82"/>
      <c r="AB17" s="82"/>
      <c r="AC17" s="82"/>
      <c r="AD17" s="82"/>
      <c r="AE17" s="82"/>
      <c r="AG17" s="120"/>
    </row>
    <row r="18" spans="1:33" s="83" customFormat="1" ht="13.5" customHeight="1" collapsed="1" x14ac:dyDescent="0.2">
      <c r="A18" s="151">
        <f t="shared" si="10"/>
        <v>4</v>
      </c>
      <c r="B18" s="151">
        <f>IF(A18="",-1,IF(Data!$AP$3=2,IFERROR(SUM('Start List'!W18,X18/100,-A18/1000000),IFERROR(SUM(W18,-A18/1000000),0)),IFERROR(SUM(W18,X18/100,Y18/10000,-A18/1000000),IFERROR(SUM(W18,-A18/1000000),0))))</f>
        <v>840.3211960000001</v>
      </c>
      <c r="C18" s="151">
        <f>IF(A18="",-1,IF(Data!$AP$3=2,IFERROR(SUM('Start List'!W18,X18/100,-A18/1000000),IFERROR(SUM(W18,-A18/1000000),0)),IFERROR(SUM(W18,X18/100,Y18/10000,-A18/1000000),IFERROR(SUM(W18,-A18/1000000),0))))+IF(OR(G18="M",G18="H"),1000,0)</f>
        <v>1840.3211960000001</v>
      </c>
      <c r="D18" s="213" t="s">
        <v>1143</v>
      </c>
      <c r="E18" s="214" t="s">
        <v>1144</v>
      </c>
      <c r="F18" s="215" t="s">
        <v>4</v>
      </c>
      <c r="G18" s="215" t="s">
        <v>4</v>
      </c>
      <c r="H18" s="155" t="e">
        <f>VLOOKUP(E18,Data!$A$1:$B$400,2,FALSE)</f>
        <v>#N/A</v>
      </c>
      <c r="I18" s="82">
        <f t="shared" si="7"/>
        <v>3</v>
      </c>
      <c r="J18" s="87" t="str">
        <f t="shared" si="8"/>
        <v>Men</v>
      </c>
      <c r="K18" s="216">
        <v>268</v>
      </c>
      <c r="L18" s="216">
        <v>7</v>
      </c>
      <c r="M18" s="216">
        <v>1</v>
      </c>
      <c r="N18" s="216" t="str">
        <f>""</f>
        <v/>
      </c>
      <c r="O18" s="216">
        <v>283</v>
      </c>
      <c r="P18" s="216">
        <v>12</v>
      </c>
      <c r="Q18" s="216">
        <v>4</v>
      </c>
      <c r="R18" s="216" t="str">
        <f>""</f>
        <v/>
      </c>
      <c r="S18" s="216">
        <v>289</v>
      </c>
      <c r="T18" s="216">
        <v>13</v>
      </c>
      <c r="U18" s="216">
        <v>7</v>
      </c>
      <c r="V18" s="216" t="str">
        <f t="shared" si="4"/>
        <v/>
      </c>
      <c r="W18" s="216">
        <f t="shared" si="9"/>
        <v>840</v>
      </c>
      <c r="X18" s="216">
        <f t="shared" si="5"/>
        <v>32</v>
      </c>
      <c r="Y18" s="216">
        <f t="shared" si="6"/>
        <v>12</v>
      </c>
      <c r="Z18" s="150"/>
      <c r="AA18" s="82"/>
      <c r="AB18" s="82"/>
      <c r="AC18" s="82"/>
      <c r="AD18" s="82"/>
      <c r="AE18" s="82"/>
      <c r="AG18" s="120"/>
    </row>
    <row r="19" spans="1:33" s="83" customFormat="1" ht="13.5" customHeight="1" collapsed="1" x14ac:dyDescent="0.2">
      <c r="A19" s="151">
        <f t="shared" si="10"/>
        <v>5</v>
      </c>
      <c r="B19" s="151">
        <f>IF(A19="",-1,IF(Data!$AP$3=2,IFERROR(SUM('Start List'!W19,X19/100,-A19/1000000),IFERROR(SUM(W19,-A19/1000000),0)),IFERROR(SUM(W19,X19/100,Y19/10000,-A19/1000000),IFERROR(SUM(W19,-A19/1000000),0))))</f>
        <v>785.15079500000002</v>
      </c>
      <c r="C19" s="151">
        <f>IF(A19="",-1,IF(Data!$AP$3=2,IFERROR(SUM('Start List'!W19,X19/100,-A19/1000000),IFERROR(SUM(W19,-A19/1000000),0)),IFERROR(SUM(W19,X19/100,Y19/10000,-A19/1000000),IFERROR(SUM(W19,-A19/1000000),0))))+IF(OR(G19="M",G19="H"),1000,0)</f>
        <v>785.15079500000002</v>
      </c>
      <c r="D19" s="213" t="s">
        <v>1145</v>
      </c>
      <c r="E19" s="214" t="s">
        <v>1146</v>
      </c>
      <c r="F19" s="215" t="s">
        <v>3</v>
      </c>
      <c r="G19" s="215" t="s">
        <v>3</v>
      </c>
      <c r="H19" s="155" t="e">
        <f>VLOOKUP(E19,Data!$A$1:$B$400,2,FALSE)</f>
        <v>#N/A</v>
      </c>
      <c r="I19" s="82">
        <f t="shared" si="7"/>
        <v>5</v>
      </c>
      <c r="J19" s="87" t="str">
        <f t="shared" si="8"/>
        <v>Women</v>
      </c>
      <c r="K19" s="216">
        <v>247</v>
      </c>
      <c r="L19" s="216">
        <v>2</v>
      </c>
      <c r="M19" s="216">
        <v>2</v>
      </c>
      <c r="N19" s="216" t="str">
        <f>""</f>
        <v/>
      </c>
      <c r="O19" s="216">
        <v>267</v>
      </c>
      <c r="P19" s="216">
        <v>5</v>
      </c>
      <c r="Q19" s="216">
        <v>1</v>
      </c>
      <c r="R19" s="216" t="str">
        <f>""</f>
        <v/>
      </c>
      <c r="S19" s="216">
        <v>271</v>
      </c>
      <c r="T19" s="216">
        <v>8</v>
      </c>
      <c r="U19" s="216">
        <v>5</v>
      </c>
      <c r="V19" s="216" t="str">
        <f t="shared" si="4"/>
        <v/>
      </c>
      <c r="W19" s="216">
        <f t="shared" si="9"/>
        <v>785</v>
      </c>
      <c r="X19" s="216">
        <f t="shared" si="5"/>
        <v>15</v>
      </c>
      <c r="Y19" s="216">
        <f t="shared" si="6"/>
        <v>8</v>
      </c>
      <c r="Z19" s="150"/>
      <c r="AA19" s="82"/>
      <c r="AB19" s="82"/>
      <c r="AC19" s="82"/>
      <c r="AD19" s="82"/>
      <c r="AE19" s="82"/>
      <c r="AG19" s="120"/>
    </row>
    <row r="20" spans="1:33" s="83" customFormat="1" ht="13.5" customHeight="1" x14ac:dyDescent="0.2">
      <c r="A20" s="151">
        <f t="shared" si="10"/>
        <v>6</v>
      </c>
      <c r="B20" s="151">
        <f>IF(A20="",-1,IF(Data!$AP$3=2,IFERROR(SUM('Start List'!W20,X20/100,-A20/1000000),IFERROR(SUM(W20,-A20/1000000),0)),IFERROR(SUM(W20,X20/100,Y20/10000,-A20/1000000),IFERROR(SUM(W20,-A20/1000000),0))))</f>
        <v>863.38239399999998</v>
      </c>
      <c r="C20" s="151">
        <f>IF(A20="",-1,IF(Data!$AP$3=2,IFERROR(SUM('Start List'!W20,X20/100,-A20/1000000),IFERROR(SUM(W20,-A20/1000000),0)),IFERROR(SUM(W20,X20/100,Y20/10000,-A20/1000000),IFERROR(SUM(W20,-A20/1000000),0))))+IF(OR(G20="M",G20="H"),1000,0)</f>
        <v>863.38239399999998</v>
      </c>
      <c r="D20" s="213" t="s">
        <v>1178</v>
      </c>
      <c r="E20" s="214" t="s">
        <v>61</v>
      </c>
      <c r="F20" s="215" t="s">
        <v>3</v>
      </c>
      <c r="G20" s="215" t="s">
        <v>3</v>
      </c>
      <c r="H20" s="155" t="e">
        <f>VLOOKUP(E20,Data!$A$1:$B$400,2,FALSE)</f>
        <v>#N/A</v>
      </c>
      <c r="I20" s="82">
        <f t="shared" si="7"/>
        <v>5</v>
      </c>
      <c r="J20" s="87" t="str">
        <f t="shared" si="8"/>
        <v>Women</v>
      </c>
      <c r="K20" s="216">
        <v>276</v>
      </c>
      <c r="L20" s="216">
        <v>9</v>
      </c>
      <c r="M20" s="216">
        <v>6</v>
      </c>
      <c r="N20" s="216" t="str">
        <f>""</f>
        <v/>
      </c>
      <c r="O20" s="216">
        <v>293</v>
      </c>
      <c r="P20" s="216">
        <v>15</v>
      </c>
      <c r="Q20" s="216">
        <v>8</v>
      </c>
      <c r="R20" s="216" t="str">
        <f>""</f>
        <v/>
      </c>
      <c r="S20" s="216">
        <v>294</v>
      </c>
      <c r="T20" s="216">
        <v>14</v>
      </c>
      <c r="U20" s="216">
        <v>10</v>
      </c>
      <c r="V20" s="216" t="str">
        <f t="shared" si="4"/>
        <v/>
      </c>
      <c r="W20" s="216">
        <f t="shared" si="9"/>
        <v>863</v>
      </c>
      <c r="X20" s="216">
        <f t="shared" si="5"/>
        <v>38</v>
      </c>
      <c r="Y20" s="216">
        <f t="shared" si="6"/>
        <v>24</v>
      </c>
      <c r="Z20" s="150"/>
      <c r="AA20" s="82"/>
      <c r="AB20" s="82"/>
      <c r="AC20" s="82"/>
      <c r="AD20" s="82"/>
      <c r="AE20" s="82"/>
      <c r="AG20" s="120"/>
    </row>
    <row r="21" spans="1:33" s="83" customFormat="1" ht="13.5" customHeight="1" x14ac:dyDescent="0.2">
      <c r="A21" s="151">
        <f t="shared" si="10"/>
        <v>7</v>
      </c>
      <c r="B21" s="151">
        <f>IF(A21="",-1,IF(Data!$AP$3=2,IFERROR(SUM('Start List'!W21,X21/100,-A21/1000000),IFERROR(SUM(W21,-A21/1000000),0)),IFERROR(SUM(W21,X21/100,Y21/10000,-A21/1000000),IFERROR(SUM(W21,-A21/1000000),0))))</f>
        <v>776.11099300000001</v>
      </c>
      <c r="C21" s="151">
        <f>IF(A21="",-1,IF(Data!$AP$3=2,IFERROR(SUM('Start List'!W21,X21/100,-A21/1000000),IFERROR(SUM(W21,-A21/1000000),0)),IFERROR(SUM(W21,X21/100,Y21/10000,-A21/1000000),IFERROR(SUM(W21,-A21/1000000),0))))+IF(OR(G21="M",G21="H"),1000,0)</f>
        <v>776.11099300000001</v>
      </c>
      <c r="D21" s="213" t="s">
        <v>1147</v>
      </c>
      <c r="E21" s="214" t="s">
        <v>1148</v>
      </c>
      <c r="F21" s="215" t="s">
        <v>3</v>
      </c>
      <c r="G21" s="215" t="s">
        <v>3</v>
      </c>
      <c r="H21" s="155" t="e">
        <f>VLOOKUP(E21,Data!$A$1:$B$400,2,FALSE)</f>
        <v>#N/A</v>
      </c>
      <c r="I21" s="82">
        <f t="shared" si="7"/>
        <v>5</v>
      </c>
      <c r="J21" s="87" t="str">
        <f t="shared" si="8"/>
        <v>Women</v>
      </c>
      <c r="K21" s="216">
        <v>250</v>
      </c>
      <c r="L21" s="216">
        <v>3</v>
      </c>
      <c r="M21" s="216">
        <v>3</v>
      </c>
      <c r="N21" s="216" t="str">
        <f>""</f>
        <v/>
      </c>
      <c r="O21" s="216">
        <v>254</v>
      </c>
      <c r="P21" s="216">
        <v>2</v>
      </c>
      <c r="Q21" s="216">
        <v>1</v>
      </c>
      <c r="R21" s="216" t="str">
        <f>""</f>
        <v/>
      </c>
      <c r="S21" s="216">
        <v>272</v>
      </c>
      <c r="T21" s="216">
        <v>6</v>
      </c>
      <c r="U21" s="216">
        <v>6</v>
      </c>
      <c r="V21" s="216" t="str">
        <f t="shared" si="4"/>
        <v/>
      </c>
      <c r="W21" s="216">
        <f t="shared" si="9"/>
        <v>776</v>
      </c>
      <c r="X21" s="216">
        <f t="shared" si="5"/>
        <v>11</v>
      </c>
      <c r="Y21" s="216">
        <f t="shared" si="6"/>
        <v>10</v>
      </c>
      <c r="Z21" s="150"/>
      <c r="AA21" s="82"/>
      <c r="AB21" s="82"/>
      <c r="AC21" s="82"/>
      <c r="AD21" s="82"/>
      <c r="AE21" s="82"/>
      <c r="AG21" s="120"/>
    </row>
    <row r="22" spans="1:33" s="83" customFormat="1" ht="13.5" customHeight="1" x14ac:dyDescent="0.2">
      <c r="A22" s="151">
        <f t="shared" si="10"/>
        <v>8</v>
      </c>
      <c r="B22" s="151">
        <f>IF(A22="",-1,IF(Data!$AP$3=2,IFERROR(SUM('Start List'!W22,X22/100,-A22/1000000),IFERROR(SUM(W22,-A22/1000000),0)),IFERROR(SUM(W22,X22/100,Y22/10000,-A22/1000000),IFERROR(SUM(W22,-A22/1000000),0))))</f>
        <v>864.42189199999996</v>
      </c>
      <c r="C22" s="151">
        <f>IF(A22="",-1,IF(Data!$AP$3=2,IFERROR(SUM('Start List'!W22,X22/100,-A22/1000000),IFERROR(SUM(W22,-A22/1000000),0)),IFERROR(SUM(W22,X22/100,Y22/10000,-A22/1000000),IFERROR(SUM(W22,-A22/1000000),0))))+IF(OR(G22="M",G22="H"),1000,0)</f>
        <v>864.42189199999996</v>
      </c>
      <c r="D22" s="213" t="s">
        <v>1149</v>
      </c>
      <c r="E22" s="214" t="s">
        <v>61</v>
      </c>
      <c r="F22" s="215" t="s">
        <v>3</v>
      </c>
      <c r="G22" s="215" t="s">
        <v>3</v>
      </c>
      <c r="H22" s="155" t="e">
        <f>VLOOKUP(E22,Data!$A$1:$B$400,2,FALSE)</f>
        <v>#N/A</v>
      </c>
      <c r="I22" s="82">
        <f t="shared" si="7"/>
        <v>5</v>
      </c>
      <c r="J22" s="87" t="str">
        <f t="shared" si="8"/>
        <v>Women</v>
      </c>
      <c r="K22" s="216">
        <v>280</v>
      </c>
      <c r="L22" s="216">
        <v>12</v>
      </c>
      <c r="M22" s="216">
        <v>4</v>
      </c>
      <c r="N22" s="216" t="str">
        <f>""</f>
        <v/>
      </c>
      <c r="O22" s="216">
        <v>294</v>
      </c>
      <c r="P22" s="216">
        <v>16</v>
      </c>
      <c r="Q22" s="216">
        <v>8</v>
      </c>
      <c r="R22" s="216" t="str">
        <f>""</f>
        <v/>
      </c>
      <c r="S22" s="216">
        <v>290</v>
      </c>
      <c r="T22" s="216">
        <v>14</v>
      </c>
      <c r="U22" s="216">
        <v>7</v>
      </c>
      <c r="V22" s="216" t="str">
        <f t="shared" si="4"/>
        <v/>
      </c>
      <c r="W22" s="216">
        <f t="shared" si="9"/>
        <v>864</v>
      </c>
      <c r="X22" s="216">
        <f t="shared" si="5"/>
        <v>42</v>
      </c>
      <c r="Y22" s="216">
        <f t="shared" si="6"/>
        <v>19</v>
      </c>
      <c r="Z22" s="150"/>
      <c r="AA22" s="82"/>
      <c r="AB22" s="82"/>
      <c r="AC22" s="82"/>
      <c r="AD22" s="82"/>
      <c r="AE22" s="82"/>
      <c r="AG22" s="120"/>
    </row>
    <row r="23" spans="1:33" s="83" customFormat="1" ht="13.5" customHeight="1" x14ac:dyDescent="0.2">
      <c r="A23" s="151">
        <f t="shared" si="10"/>
        <v>9</v>
      </c>
      <c r="B23" s="151">
        <f>IF(A23="",-1,IF(Data!$AP$3=2,IFERROR(SUM('Start List'!W23,X23/100,-A23/1000000),IFERROR(SUM(W23,-A23/1000000),0)),IFERROR(SUM(W23,X23/100,Y23/10000,-A23/1000000),IFERROR(SUM(W23,-A23/1000000),0))))</f>
        <v>782.17099099999996</v>
      </c>
      <c r="C23" s="151">
        <f>IF(A23="",-1,IF(Data!$AP$3=2,IFERROR(SUM('Start List'!W23,X23/100,-A23/1000000),IFERROR(SUM(W23,-A23/1000000),0)),IFERROR(SUM(W23,X23/100,Y23/10000,-A23/1000000),IFERROR(SUM(W23,-A23/1000000),0))))+IF(OR(G23="M",G23="H"),1000,0)</f>
        <v>782.17099099999996</v>
      </c>
      <c r="D23" s="213" t="s">
        <v>1150</v>
      </c>
      <c r="E23" s="214" t="s">
        <v>1148</v>
      </c>
      <c r="F23" s="215" t="s">
        <v>3</v>
      </c>
      <c r="G23" s="215" t="s">
        <v>3</v>
      </c>
      <c r="H23" s="155" t="e">
        <f>VLOOKUP(E23,Data!$A$1:$B$400,2,FALSE)</f>
        <v>#N/A</v>
      </c>
      <c r="I23" s="82">
        <f t="shared" si="7"/>
        <v>5</v>
      </c>
      <c r="J23" s="87" t="str">
        <f t="shared" si="8"/>
        <v>Women</v>
      </c>
      <c r="K23" s="216">
        <v>246</v>
      </c>
      <c r="L23" s="216">
        <v>6</v>
      </c>
      <c r="M23" s="216">
        <v>1</v>
      </c>
      <c r="N23" s="216" t="str">
        <f>""</f>
        <v/>
      </c>
      <c r="O23" s="216">
        <v>267</v>
      </c>
      <c r="P23" s="216">
        <v>6</v>
      </c>
      <c r="Q23" s="216">
        <v>3</v>
      </c>
      <c r="R23" s="216" t="str">
        <f>""</f>
        <v/>
      </c>
      <c r="S23" s="216">
        <v>269</v>
      </c>
      <c r="T23" s="216">
        <v>5</v>
      </c>
      <c r="U23" s="216">
        <v>6</v>
      </c>
      <c r="V23" s="216" t="str">
        <f t="shared" si="4"/>
        <v/>
      </c>
      <c r="W23" s="216">
        <f t="shared" si="9"/>
        <v>782</v>
      </c>
      <c r="X23" s="216">
        <f t="shared" si="5"/>
        <v>17</v>
      </c>
      <c r="Y23" s="216">
        <f t="shared" si="6"/>
        <v>10</v>
      </c>
      <c r="Z23" s="150"/>
      <c r="AA23" s="82"/>
      <c r="AB23" s="82"/>
      <c r="AC23" s="82"/>
      <c r="AD23" s="82"/>
      <c r="AE23" s="82"/>
      <c r="AG23" s="120"/>
    </row>
    <row r="24" spans="1:33" s="83" customFormat="1" ht="13.5" customHeight="1" collapsed="1" x14ac:dyDescent="0.2">
      <c r="A24" s="151">
        <f t="shared" si="10"/>
        <v>10</v>
      </c>
      <c r="B24" s="151">
        <f>IF(A24="",-1,IF(Data!$AP$3=2,IFERROR(SUM('Start List'!W24,X24/100,-A24/1000000),IFERROR(SUM(W24,-A24/1000000),0)),IFERROR(SUM(W24,X24/100,Y24/10000,-A24/1000000),IFERROR(SUM(W24,-A24/1000000),0))))</f>
        <v>793.15108999999995</v>
      </c>
      <c r="C24" s="151">
        <f>IF(A24="",-1,IF(Data!$AP$3=2,IFERROR(SUM('Start List'!W24,X24/100,-A24/1000000),IFERROR(SUM(W24,-A24/1000000),0)),IFERROR(SUM(W24,X24/100,Y24/10000,-A24/1000000),IFERROR(SUM(W24,-A24/1000000),0))))+IF(OR(G24="M",G24="H"),1000,0)</f>
        <v>793.15108999999995</v>
      </c>
      <c r="D24" s="213" t="s">
        <v>1151</v>
      </c>
      <c r="E24" s="214" t="s">
        <v>1144</v>
      </c>
      <c r="F24" s="215" t="s">
        <v>3</v>
      </c>
      <c r="G24" s="215" t="s">
        <v>3</v>
      </c>
      <c r="H24" s="155" t="e">
        <f>VLOOKUP(E24,Data!$A$1:$B$400,2,FALSE)</f>
        <v>#N/A</v>
      </c>
      <c r="I24" s="82">
        <f t="shared" si="7"/>
        <v>5</v>
      </c>
      <c r="J24" s="87" t="str">
        <f t="shared" si="8"/>
        <v>Women</v>
      </c>
      <c r="K24" s="216">
        <v>243</v>
      </c>
      <c r="L24" s="216">
        <v>3</v>
      </c>
      <c r="M24" s="216">
        <v>2</v>
      </c>
      <c r="N24" s="216" t="str">
        <f>""</f>
        <v/>
      </c>
      <c r="O24" s="216">
        <v>278</v>
      </c>
      <c r="P24" s="216">
        <v>6</v>
      </c>
      <c r="Q24" s="216">
        <v>6</v>
      </c>
      <c r="R24" s="216" t="str">
        <f>""</f>
        <v/>
      </c>
      <c r="S24" s="216">
        <v>272</v>
      </c>
      <c r="T24" s="216">
        <v>6</v>
      </c>
      <c r="U24" s="216">
        <v>3</v>
      </c>
      <c r="V24" s="216" t="str">
        <f t="shared" si="4"/>
        <v/>
      </c>
      <c r="W24" s="216">
        <f t="shared" si="9"/>
        <v>793</v>
      </c>
      <c r="X24" s="216">
        <f t="shared" si="5"/>
        <v>15</v>
      </c>
      <c r="Y24" s="216">
        <f t="shared" si="6"/>
        <v>11</v>
      </c>
      <c r="Z24" s="150"/>
      <c r="AA24" s="82"/>
      <c r="AB24" s="82"/>
      <c r="AC24" s="82"/>
      <c r="AD24" s="82"/>
      <c r="AE24" s="82"/>
      <c r="AG24" s="120"/>
    </row>
    <row r="25" spans="1:33" s="83" customFormat="1" ht="13.5" customHeight="1" collapsed="1" x14ac:dyDescent="0.2">
      <c r="A25" s="151">
        <f t="shared" si="10"/>
        <v>11</v>
      </c>
      <c r="B25" s="151">
        <f>IF(A25="",-1,IF(Data!$AP$3=2,IFERROR(SUM('Start List'!W25,X25/100,-A25/1000000),IFERROR(SUM(W25,-A25/1000000),0)),IFERROR(SUM(W25,X25/100,Y25/10000,-A25/1000000),IFERROR(SUM(W25,-A25/1000000),0))))</f>
        <v>845.39108899999997</v>
      </c>
      <c r="C25" s="151">
        <f>IF(A25="",-1,IF(Data!$AP$3=2,IFERROR(SUM('Start List'!W25,X25/100,-A25/1000000),IFERROR(SUM(W25,-A25/1000000),0)),IFERROR(SUM(W25,X25/100,Y25/10000,-A25/1000000),IFERROR(SUM(W25,-A25/1000000),0))))+IF(OR(G25="M",G25="H"),1000,0)</f>
        <v>1845.391089</v>
      </c>
      <c r="D25" s="213" t="s">
        <v>1152</v>
      </c>
      <c r="E25" s="214" t="s">
        <v>61</v>
      </c>
      <c r="F25" s="215" t="s">
        <v>5</v>
      </c>
      <c r="G25" s="215" t="s">
        <v>4</v>
      </c>
      <c r="H25" s="155" t="e">
        <f>VLOOKUP(E25,Data!$A$1:$B$400,2,FALSE)</f>
        <v>#N/A</v>
      </c>
      <c r="I25" s="82">
        <f t="shared" si="7"/>
        <v>7</v>
      </c>
      <c r="J25" s="87" t="str">
        <f t="shared" si="8"/>
        <v>Juniors</v>
      </c>
      <c r="K25" s="216">
        <v>267</v>
      </c>
      <c r="L25" s="216">
        <v>7</v>
      </c>
      <c r="M25" s="216">
        <v>4</v>
      </c>
      <c r="N25" s="216" t="str">
        <f>""</f>
        <v/>
      </c>
      <c r="O25" s="216">
        <v>292</v>
      </c>
      <c r="P25" s="216">
        <v>19</v>
      </c>
      <c r="Q25" s="216">
        <v>3</v>
      </c>
      <c r="R25" s="216" t="str">
        <f>""</f>
        <v/>
      </c>
      <c r="S25" s="216">
        <v>286</v>
      </c>
      <c r="T25" s="216">
        <v>13</v>
      </c>
      <c r="U25" s="216">
        <v>4</v>
      </c>
      <c r="V25" s="216" t="str">
        <f t="shared" si="4"/>
        <v/>
      </c>
      <c r="W25" s="216">
        <f t="shared" si="9"/>
        <v>845</v>
      </c>
      <c r="X25" s="216">
        <f t="shared" si="5"/>
        <v>39</v>
      </c>
      <c r="Y25" s="216">
        <f t="shared" si="6"/>
        <v>11</v>
      </c>
      <c r="Z25" s="150"/>
      <c r="AA25" s="82"/>
      <c r="AB25" s="82"/>
      <c r="AC25" s="82"/>
      <c r="AD25" s="82"/>
      <c r="AE25" s="82"/>
      <c r="AG25" s="117"/>
    </row>
    <row r="26" spans="1:33" s="83" customFormat="1" ht="13.5" customHeight="1" x14ac:dyDescent="0.2">
      <c r="A26" s="151">
        <f t="shared" si="10"/>
        <v>12</v>
      </c>
      <c r="B26" s="151">
        <f>IF(A26="",-1,IF(Data!$AP$3=2,IFERROR(SUM('Start List'!W26,X26/100,-A26/1000000),IFERROR(SUM(W26,-A26/1000000),0)),IFERROR(SUM(W26,X26/100,Y26/10000,-A26/1000000),IFERROR(SUM(W26,-A26/1000000),0))))</f>
        <v>760.12068800000009</v>
      </c>
      <c r="C26" s="151">
        <f>IF(A26="",-1,IF(Data!$AP$3=2,IFERROR(SUM('Start List'!W26,X26/100,-A26/1000000),IFERROR(SUM(W26,-A26/1000000),0)),IFERROR(SUM(W26,X26/100,Y26/10000,-A26/1000000),IFERROR(SUM(W26,-A26/1000000),0))))+IF(OR(G26="M",G26="H"),1000,0)</f>
        <v>1760.120688</v>
      </c>
      <c r="D26" s="213" t="s">
        <v>1153</v>
      </c>
      <c r="E26" s="214" t="s">
        <v>1148</v>
      </c>
      <c r="F26" s="215" t="s">
        <v>5</v>
      </c>
      <c r="G26" s="215" t="s">
        <v>4</v>
      </c>
      <c r="H26" s="155" t="e">
        <f>VLOOKUP(E26,Data!$A$1:$B$400,2,FALSE)</f>
        <v>#N/A</v>
      </c>
      <c r="I26" s="82">
        <f>IF(LEN(J26)=0,100,LEN(J26))</f>
        <v>7</v>
      </c>
      <c r="J26" s="87" t="str">
        <f t="shared" si="8"/>
        <v>Juniors</v>
      </c>
      <c r="K26" s="216">
        <v>240</v>
      </c>
      <c r="L26" s="216">
        <v>2</v>
      </c>
      <c r="M26" s="216">
        <v>1</v>
      </c>
      <c r="N26" s="216" t="str">
        <f>""</f>
        <v/>
      </c>
      <c r="O26" s="216">
        <v>263</v>
      </c>
      <c r="P26" s="216">
        <v>6</v>
      </c>
      <c r="Q26" s="216">
        <v>3</v>
      </c>
      <c r="R26" s="216" t="str">
        <f>""</f>
        <v/>
      </c>
      <c r="S26" s="216">
        <v>257</v>
      </c>
      <c r="T26" s="216">
        <v>4</v>
      </c>
      <c r="U26" s="216">
        <v>3</v>
      </c>
      <c r="V26" s="216" t="str">
        <f t="shared" si="4"/>
        <v/>
      </c>
      <c r="W26" s="216">
        <f t="shared" si="9"/>
        <v>760</v>
      </c>
      <c r="X26" s="216">
        <f t="shared" si="5"/>
        <v>12</v>
      </c>
      <c r="Y26" s="216">
        <f t="shared" si="6"/>
        <v>7</v>
      </c>
      <c r="Z26" s="150"/>
      <c r="AA26" s="82"/>
      <c r="AB26" s="82"/>
      <c r="AC26" s="82"/>
      <c r="AD26" s="82"/>
      <c r="AE26" s="82"/>
      <c r="AG26" s="117"/>
    </row>
    <row r="27" spans="1:33" s="83" customFormat="1" ht="13.5" customHeight="1" x14ac:dyDescent="0.2">
      <c r="A27" s="151">
        <f t="shared" si="10"/>
        <v>13</v>
      </c>
      <c r="B27" s="151">
        <f>IF(A27="",-1,IF(Data!$AP$3=2,IFERROR(SUM('Start List'!W27,X27/100,-A27/1000000),IFERROR(SUM(W27,-A27/1000000),0)),IFERROR(SUM(W27,X27/100,Y27/10000,-A27/1000000),IFERROR(SUM(W27,-A27/1000000),0))))</f>
        <v>817.21138700000006</v>
      </c>
      <c r="C27" s="151">
        <f>IF(A27="",-1,IF(Data!$AP$3=2,IFERROR(SUM('Start List'!W27,X27/100,-A27/1000000),IFERROR(SUM(W27,-A27/1000000),0)),IFERROR(SUM(W27,X27/100,Y27/10000,-A27/1000000),IFERROR(SUM(W27,-A27/1000000),0))))+IF(OR(G27="M",G27="H"),1000,0)</f>
        <v>817.21138700000006</v>
      </c>
      <c r="D27" s="213" t="s">
        <v>1154</v>
      </c>
      <c r="E27" s="214" t="s">
        <v>61</v>
      </c>
      <c r="F27" s="215" t="s">
        <v>5</v>
      </c>
      <c r="G27" s="215" t="s">
        <v>3</v>
      </c>
      <c r="H27" s="155" t="e">
        <f>VLOOKUP(E27,Data!$A$1:$B$400,2,FALSE)</f>
        <v>#N/A</v>
      </c>
      <c r="I27" s="82">
        <f t="shared" si="7"/>
        <v>7</v>
      </c>
      <c r="J27" s="87" t="str">
        <f t="shared" si="8"/>
        <v>Juniors</v>
      </c>
      <c r="K27" s="216">
        <v>257</v>
      </c>
      <c r="L27" s="216">
        <v>4</v>
      </c>
      <c r="M27" s="216">
        <v>4</v>
      </c>
      <c r="N27" s="216" t="str">
        <f>""</f>
        <v/>
      </c>
      <c r="O27" s="216">
        <v>280</v>
      </c>
      <c r="P27" s="216">
        <v>10</v>
      </c>
      <c r="Q27" s="216">
        <v>4</v>
      </c>
      <c r="R27" s="216" t="str">
        <f>""</f>
        <v/>
      </c>
      <c r="S27" s="216">
        <v>280</v>
      </c>
      <c r="T27" s="216">
        <v>7</v>
      </c>
      <c r="U27" s="216">
        <v>6</v>
      </c>
      <c r="V27" s="216" t="str">
        <f t="shared" si="4"/>
        <v/>
      </c>
      <c r="W27" s="216">
        <f t="shared" si="9"/>
        <v>817</v>
      </c>
      <c r="X27" s="216">
        <f t="shared" si="5"/>
        <v>21</v>
      </c>
      <c r="Y27" s="216">
        <f t="shared" si="6"/>
        <v>14</v>
      </c>
      <c r="Z27" s="150"/>
      <c r="AA27" s="82"/>
      <c r="AB27" s="82"/>
      <c r="AC27" s="82"/>
      <c r="AD27" s="82"/>
      <c r="AE27" s="82"/>
      <c r="AG27" s="117"/>
    </row>
    <row r="28" spans="1:33" s="83" customFormat="1" ht="13.5" customHeight="1" x14ac:dyDescent="0.2">
      <c r="A28" s="151">
        <f t="shared" si="10"/>
        <v>14</v>
      </c>
      <c r="B28" s="151">
        <f>IF(A28="",-1,IF(Data!$AP$3=2,IFERROR(SUM('Start List'!W28,X28/100,-A28/1000000),IFERROR(SUM(W28,-A28/1000000),0)),IFERROR(SUM(W28,X28/100,Y28/10000,-A28/1000000),IFERROR(SUM(W28,-A28/1000000),0))))</f>
        <v>827.29118600000004</v>
      </c>
      <c r="C28" s="151">
        <f>IF(A28="",-1,IF(Data!$AP$3=2,IFERROR(SUM('Start List'!W28,X28/100,-A28/1000000),IFERROR(SUM(W28,-A28/1000000),0)),IFERROR(SUM(W28,X28/100,Y28/10000,-A28/1000000),IFERROR(SUM(W28,-A28/1000000),0))))+IF(OR(G28="M",G28="H"),1000,0)</f>
        <v>1827.2911859999999</v>
      </c>
      <c r="D28" s="213" t="s">
        <v>1155</v>
      </c>
      <c r="E28" s="214" t="s">
        <v>61</v>
      </c>
      <c r="F28" s="215" t="s">
        <v>6</v>
      </c>
      <c r="G28" s="215" t="s">
        <v>4</v>
      </c>
      <c r="H28" s="155" t="e">
        <f>VLOOKUP(E28,Data!$A$1:$B$400,2,FALSE)</f>
        <v>#N/A</v>
      </c>
      <c r="I28" s="82">
        <f t="shared" ref="I28:I91" si="11">IF(LEN(J28)=0,100,LEN(J28))</f>
        <v>8</v>
      </c>
      <c r="J28" s="87" t="str">
        <f t="shared" si="8"/>
        <v xml:space="preserve">Cadets  </v>
      </c>
      <c r="K28" s="216">
        <v>263</v>
      </c>
      <c r="L28" s="216">
        <v>8</v>
      </c>
      <c r="M28" s="216">
        <v>1</v>
      </c>
      <c r="N28" s="216" t="str">
        <f>""</f>
        <v/>
      </c>
      <c r="O28" s="216">
        <v>279</v>
      </c>
      <c r="P28" s="216">
        <v>8</v>
      </c>
      <c r="Q28" s="216">
        <v>6</v>
      </c>
      <c r="R28" s="216" t="str">
        <f>""</f>
        <v/>
      </c>
      <c r="S28" s="216">
        <v>285</v>
      </c>
      <c r="T28" s="216">
        <v>13</v>
      </c>
      <c r="U28" s="216">
        <v>5</v>
      </c>
      <c r="V28" s="216" t="str">
        <f t="shared" si="4"/>
        <v/>
      </c>
      <c r="W28" s="216">
        <f t="shared" si="9"/>
        <v>827</v>
      </c>
      <c r="X28" s="216">
        <f t="shared" si="5"/>
        <v>29</v>
      </c>
      <c r="Y28" s="216">
        <f t="shared" si="6"/>
        <v>12</v>
      </c>
      <c r="Z28" s="150"/>
      <c r="AA28" s="82"/>
      <c r="AB28" s="82"/>
      <c r="AC28" s="82"/>
      <c r="AD28" s="82"/>
      <c r="AE28" s="82"/>
      <c r="AG28" s="117"/>
    </row>
    <row r="29" spans="1:33" s="83" customFormat="1" ht="13.5" customHeight="1" x14ac:dyDescent="0.2">
      <c r="A29" s="151">
        <f t="shared" si="10"/>
        <v>15</v>
      </c>
      <c r="B29" s="151">
        <f>IF(A29="",-1,IF(Data!$AP$3=2,IFERROR(SUM('Start List'!W29,X29/100,-A29/1000000),IFERROR(SUM(W29,-A29/1000000),0)),IFERROR(SUM(W29,X29/100,Y29/10000,-A29/1000000),IFERROR(SUM(W29,-A29/1000000),0))))</f>
        <v>695.11028500000009</v>
      </c>
      <c r="C29" s="151">
        <f>IF(A29="",-1,IF(Data!$AP$3=2,IFERROR(SUM('Start List'!W29,X29/100,-A29/1000000),IFERROR(SUM(W29,-A29/1000000),0)),IFERROR(SUM(W29,X29/100,Y29/10000,-A29/1000000),IFERROR(SUM(W29,-A29/1000000),0))))+IF(OR(G29="M",G29="H"),1000,0)</f>
        <v>1695.1102850000002</v>
      </c>
      <c r="D29" s="213" t="s">
        <v>1156</v>
      </c>
      <c r="E29" s="214" t="s">
        <v>1157</v>
      </c>
      <c r="F29" s="215" t="s">
        <v>6</v>
      </c>
      <c r="G29" s="215" t="s">
        <v>4</v>
      </c>
      <c r="H29" s="155" t="e">
        <f>VLOOKUP(E29,Data!$A$1:$B$400,2,FALSE)</f>
        <v>#N/A</v>
      </c>
      <c r="I29" s="82">
        <f t="shared" si="11"/>
        <v>8</v>
      </c>
      <c r="J29" s="87" t="str">
        <f t="shared" si="8"/>
        <v xml:space="preserve">Cadets  </v>
      </c>
      <c r="K29" s="216">
        <v>228</v>
      </c>
      <c r="L29" s="216">
        <v>2</v>
      </c>
      <c r="M29" s="216">
        <v>0</v>
      </c>
      <c r="N29" s="216" t="str">
        <f>""</f>
        <v/>
      </c>
      <c r="O29" s="216">
        <v>248</v>
      </c>
      <c r="P29" s="216">
        <v>4</v>
      </c>
      <c r="Q29" s="216">
        <v>1</v>
      </c>
      <c r="R29" s="216" t="str">
        <f>""</f>
        <v/>
      </c>
      <c r="S29" s="216">
        <v>219</v>
      </c>
      <c r="T29" s="216">
        <v>5</v>
      </c>
      <c r="U29" s="216">
        <v>2</v>
      </c>
      <c r="V29" s="216" t="str">
        <f t="shared" si="4"/>
        <v/>
      </c>
      <c r="W29" s="216">
        <f t="shared" si="9"/>
        <v>695</v>
      </c>
      <c r="X29" s="216">
        <f t="shared" si="5"/>
        <v>11</v>
      </c>
      <c r="Y29" s="216">
        <f t="shared" si="6"/>
        <v>3</v>
      </c>
      <c r="Z29" s="82"/>
      <c r="AA29" s="82"/>
      <c r="AB29" s="82"/>
      <c r="AC29" s="82"/>
      <c r="AD29" s="82"/>
      <c r="AE29" s="82"/>
      <c r="AG29" s="117"/>
    </row>
    <row r="30" spans="1:33" s="83" customFormat="1" ht="13.5" customHeight="1" collapsed="1" x14ac:dyDescent="0.2">
      <c r="A30" s="151">
        <f t="shared" si="10"/>
        <v>16</v>
      </c>
      <c r="B30" s="151">
        <f>IF(A30="",-1,IF(Data!$AP$3=2,IFERROR(SUM('Start List'!W30,X30/100,-A30/1000000),IFERROR(SUM(W30,-A30/1000000),0)),IFERROR(SUM(W30,X30/100,Y30/10000,-A30/1000000),IFERROR(SUM(W30,-A30/1000000),0))))</f>
        <v>804.22098400000004</v>
      </c>
      <c r="C30" s="151">
        <f>IF(A30="",-1,IF(Data!$AP$3=2,IFERROR(SUM('Start List'!W30,X30/100,-A30/1000000),IFERROR(SUM(W30,-A30/1000000),0)),IFERROR(SUM(W30,X30/100,Y30/10000,-A30/1000000),IFERROR(SUM(W30,-A30/1000000),0))))+IF(OR(G30="M",G30="H"),1000,0)</f>
        <v>804.22098400000004</v>
      </c>
      <c r="D30" s="213" t="s">
        <v>1158</v>
      </c>
      <c r="E30" s="214" t="s">
        <v>61</v>
      </c>
      <c r="F30" s="215" t="s">
        <v>6</v>
      </c>
      <c r="G30" s="215" t="s">
        <v>3</v>
      </c>
      <c r="H30" s="155" t="e">
        <f>VLOOKUP(E30,Data!$A$1:$B$400,2,FALSE)</f>
        <v>#N/A</v>
      </c>
      <c r="I30" s="82">
        <f t="shared" si="11"/>
        <v>8</v>
      </c>
      <c r="J30" s="87" t="str">
        <f t="shared" si="8"/>
        <v xml:space="preserve">Cadets  </v>
      </c>
      <c r="K30" s="216">
        <v>250</v>
      </c>
      <c r="L30" s="216">
        <v>7</v>
      </c>
      <c r="M30" s="216">
        <v>1</v>
      </c>
      <c r="N30" s="216" t="str">
        <f>""</f>
        <v/>
      </c>
      <c r="O30" s="216">
        <v>281</v>
      </c>
      <c r="P30" s="216">
        <v>11</v>
      </c>
      <c r="Q30" s="216">
        <v>5</v>
      </c>
      <c r="R30" s="216" t="str">
        <f>""</f>
        <v/>
      </c>
      <c r="S30" s="216">
        <v>273</v>
      </c>
      <c r="T30" s="216">
        <v>4</v>
      </c>
      <c r="U30" s="216">
        <v>4</v>
      </c>
      <c r="V30" s="216" t="str">
        <f t="shared" si="4"/>
        <v/>
      </c>
      <c r="W30" s="216">
        <f t="shared" si="9"/>
        <v>804</v>
      </c>
      <c r="X30" s="216">
        <f t="shared" si="5"/>
        <v>22</v>
      </c>
      <c r="Y30" s="216">
        <f t="shared" si="6"/>
        <v>10</v>
      </c>
      <c r="Z30" s="82"/>
      <c r="AA30" s="82"/>
      <c r="AB30" s="82"/>
      <c r="AC30" s="82"/>
      <c r="AD30" s="82"/>
      <c r="AE30" s="82"/>
      <c r="AG30" s="117"/>
    </row>
    <row r="31" spans="1:33" ht="13.5" customHeight="1" x14ac:dyDescent="0.2">
      <c r="A31" s="151">
        <f t="shared" si="10"/>
        <v>17</v>
      </c>
      <c r="B31" s="151">
        <f>IF(A31="",-1,IF(Data!$AP$3=2,IFERROR(SUM('Start List'!W31,X31/100,-A31/1000000),IFERROR(SUM(W31,-A31/1000000),0)),IFERROR(SUM(W31,X31/100,Y31/10000,-A31/1000000),IFERROR(SUM(W31,-A31/1000000),0))))</f>
        <v>770.13078300000006</v>
      </c>
      <c r="C31" s="151">
        <f>IF(A31="",-1,IF(Data!$AP$3=2,IFERROR(SUM('Start List'!W31,X31/100,-A31/1000000),IFERROR(SUM(W31,-A31/1000000),0)),IFERROR(SUM(W31,X31/100,Y31/10000,-A31/1000000),IFERROR(SUM(W31,-A31/1000000),0))))+IF(OR(G31="M",G31="H"),1000,0)</f>
        <v>1770.1307830000001</v>
      </c>
      <c r="D31" s="213" t="s">
        <v>1159</v>
      </c>
      <c r="E31" s="214" t="s">
        <v>1160</v>
      </c>
      <c r="F31" s="215" t="s">
        <v>6</v>
      </c>
      <c r="G31" s="215" t="s">
        <v>4</v>
      </c>
      <c r="H31" s="155" t="e">
        <f>VLOOKUP(E31,Data!$A$1:$B$400,2,FALSE)</f>
        <v>#N/A</v>
      </c>
      <c r="I31" s="82">
        <f t="shared" si="11"/>
        <v>8</v>
      </c>
      <c r="J31" s="87" t="str">
        <f t="shared" si="8"/>
        <v xml:space="preserve">Cadets  </v>
      </c>
      <c r="K31" s="216">
        <v>225</v>
      </c>
      <c r="L31" s="216">
        <v>2</v>
      </c>
      <c r="M31" s="216">
        <v>0</v>
      </c>
      <c r="N31" s="216" t="str">
        <f>""</f>
        <v/>
      </c>
      <c r="O31" s="216">
        <v>269</v>
      </c>
      <c r="P31" s="216">
        <v>4</v>
      </c>
      <c r="Q31" s="216">
        <v>4</v>
      </c>
      <c r="R31" s="216" t="str">
        <f>""</f>
        <v/>
      </c>
      <c r="S31" s="216">
        <v>276</v>
      </c>
      <c r="T31" s="216">
        <v>7</v>
      </c>
      <c r="U31" s="216">
        <v>4</v>
      </c>
      <c r="V31" s="216" t="str">
        <f t="shared" si="4"/>
        <v/>
      </c>
      <c r="W31" s="216">
        <f t="shared" si="9"/>
        <v>770</v>
      </c>
      <c r="X31" s="216">
        <f t="shared" si="5"/>
        <v>13</v>
      </c>
      <c r="Y31" s="216">
        <f t="shared" si="6"/>
        <v>8</v>
      </c>
      <c r="AG31" s="117"/>
    </row>
    <row r="32" spans="1:33" ht="13.5" customHeight="1" x14ac:dyDescent="0.2">
      <c r="A32" s="151">
        <f t="shared" si="10"/>
        <v>18</v>
      </c>
      <c r="B32" s="151">
        <f>IF(A32="",-1,IF(Data!$AP$3=2,IFERROR(SUM('Start List'!W32,X32/100,-A32/1000000),IFERROR(SUM(W32,-A32/1000000),0)),IFERROR(SUM(W32,X32/100,Y32/10000,-A32/1000000),IFERROR(SUM(W32,-A32/1000000),0))))</f>
        <v>824.18168200000002</v>
      </c>
      <c r="C32" s="151">
        <f>IF(A32="",-1,IF(Data!$AP$3=2,IFERROR(SUM('Start List'!W32,X32/100,-A32/1000000),IFERROR(SUM(W32,-A32/1000000),0)),IFERROR(SUM(W32,X32/100,Y32/10000,-A32/1000000),IFERROR(SUM(W32,-A32/1000000),0))))+IF(OR(G32="M",G32="H"),1000,0)</f>
        <v>824.18168200000002</v>
      </c>
      <c r="D32" s="213" t="s">
        <v>1161</v>
      </c>
      <c r="E32" s="214" t="s">
        <v>61</v>
      </c>
      <c r="F32" s="215" t="s">
        <v>6</v>
      </c>
      <c r="G32" s="215" t="s">
        <v>3</v>
      </c>
      <c r="H32" s="155" t="e">
        <f>VLOOKUP(E32,Data!$A$1:$B$400,2,FALSE)</f>
        <v>#N/A</v>
      </c>
      <c r="I32" s="82">
        <f t="shared" si="11"/>
        <v>8</v>
      </c>
      <c r="J32" s="87" t="str">
        <f t="shared" si="8"/>
        <v xml:space="preserve">Cadets  </v>
      </c>
      <c r="K32" s="216">
        <v>264</v>
      </c>
      <c r="L32" s="216">
        <v>4</v>
      </c>
      <c r="M32" s="216">
        <v>4</v>
      </c>
      <c r="N32" s="216" t="str">
        <f>""</f>
        <v/>
      </c>
      <c r="O32" s="216">
        <v>271</v>
      </c>
      <c r="P32" s="216">
        <v>3</v>
      </c>
      <c r="Q32" s="216">
        <v>5</v>
      </c>
      <c r="R32" s="216" t="str">
        <f>""</f>
        <v/>
      </c>
      <c r="S32" s="216">
        <v>289</v>
      </c>
      <c r="T32" s="216">
        <v>11</v>
      </c>
      <c r="U32" s="216">
        <v>8</v>
      </c>
      <c r="V32" s="216" t="str">
        <f t="shared" si="4"/>
        <v/>
      </c>
      <c r="W32" s="216">
        <f t="shared" si="9"/>
        <v>824</v>
      </c>
      <c r="X32" s="216">
        <f t="shared" si="5"/>
        <v>18</v>
      </c>
      <c r="Y32" s="216">
        <f t="shared" si="6"/>
        <v>17</v>
      </c>
      <c r="AG32" s="120"/>
    </row>
    <row r="33" spans="1:33" ht="13.5" customHeight="1" x14ac:dyDescent="0.2">
      <c r="A33" s="151">
        <f t="shared" si="10"/>
        <v>19</v>
      </c>
      <c r="B33" s="151">
        <f>IF(A33="",-1,IF(Data!$AP$3=2,IFERROR(SUM('Start List'!W33,X33/100,-A33/1000000),IFERROR(SUM(W33,-A33/1000000),0)),IFERROR(SUM(W33,X33/100,Y33/10000,-A33/1000000),IFERROR(SUM(W33,-A33/1000000),0))))</f>
        <v>609.02038100000004</v>
      </c>
      <c r="C33" s="151">
        <f>IF(A33="",-1,IF(Data!$AP$3=2,IFERROR(SUM('Start List'!W33,X33/100,-A33/1000000),IFERROR(SUM(W33,-A33/1000000),0)),IFERROR(SUM(W33,X33/100,Y33/10000,-A33/1000000),IFERROR(SUM(W33,-A33/1000000),0))))+IF(OR(G33="M",G33="H"),1000,0)</f>
        <v>1609.020381</v>
      </c>
      <c r="D33" s="213" t="s">
        <v>1162</v>
      </c>
      <c r="E33" s="214" t="s">
        <v>1157</v>
      </c>
      <c r="F33" s="215" t="s">
        <v>6</v>
      </c>
      <c r="G33" s="215" t="s">
        <v>4</v>
      </c>
      <c r="H33" s="155" t="e">
        <f>VLOOKUP(E33,Data!$A$1:$B$400,2,FALSE)</f>
        <v>#N/A</v>
      </c>
      <c r="I33" s="82">
        <f t="shared" si="11"/>
        <v>8</v>
      </c>
      <c r="J33" s="87" t="str">
        <f t="shared" si="8"/>
        <v xml:space="preserve">Cadets  </v>
      </c>
      <c r="K33" s="216">
        <v>193</v>
      </c>
      <c r="L33" s="216">
        <v>0</v>
      </c>
      <c r="M33" s="216">
        <v>1</v>
      </c>
      <c r="N33" s="216" t="str">
        <f>""</f>
        <v/>
      </c>
      <c r="O33" s="216">
        <v>237</v>
      </c>
      <c r="P33" s="216">
        <v>2</v>
      </c>
      <c r="Q33" s="216">
        <v>1</v>
      </c>
      <c r="R33" s="216" t="str">
        <f>""</f>
        <v/>
      </c>
      <c r="S33" s="216">
        <v>179</v>
      </c>
      <c r="T33" s="216">
        <v>0</v>
      </c>
      <c r="U33" s="216">
        <v>2</v>
      </c>
      <c r="V33" s="216" t="str">
        <f t="shared" si="4"/>
        <v/>
      </c>
      <c r="W33" s="216">
        <f t="shared" si="9"/>
        <v>609</v>
      </c>
      <c r="X33" s="216">
        <f t="shared" si="5"/>
        <v>2</v>
      </c>
      <c r="Y33" s="216">
        <f t="shared" si="6"/>
        <v>4</v>
      </c>
      <c r="AG33" s="120"/>
    </row>
    <row r="34" spans="1:33" ht="13.5" customHeight="1" x14ac:dyDescent="0.2">
      <c r="A34" s="151">
        <f t="shared" si="10"/>
        <v>20</v>
      </c>
      <c r="B34" s="151">
        <f>IF(A34="",-1,IF(Data!$AP$3=2,IFERROR(SUM('Start List'!W34,X34/100,-A34/1000000),IFERROR(SUM(W34,-A34/1000000),0)),IFERROR(SUM(W34,X34/100,Y34/10000,-A34/1000000),IFERROR(SUM(W34,-A34/1000000),0))))</f>
        <v>799.13148000000001</v>
      </c>
      <c r="C34" s="151">
        <f>IF(A34="",-1,IF(Data!$AP$3=2,IFERROR(SUM('Start List'!W34,X34/100,-A34/1000000),IFERROR(SUM(W34,-A34/1000000),0)),IFERROR(SUM(W34,X34/100,Y34/10000,-A34/1000000),IFERROR(SUM(W34,-A34/1000000),0))))+IF(OR(G34="M",G34="H"),1000,0)</f>
        <v>799.13148000000001</v>
      </c>
      <c r="D34" s="213" t="s">
        <v>1163</v>
      </c>
      <c r="E34" s="214" t="s">
        <v>61</v>
      </c>
      <c r="F34" s="215" t="s">
        <v>6</v>
      </c>
      <c r="G34" s="215" t="s">
        <v>3</v>
      </c>
      <c r="H34" s="155" t="e">
        <f>VLOOKUP(E34,Data!$A$1:$B$400,2,FALSE)</f>
        <v>#N/A</v>
      </c>
      <c r="I34" s="82">
        <f t="shared" si="11"/>
        <v>8</v>
      </c>
      <c r="J34" s="87" t="str">
        <f t="shared" si="8"/>
        <v xml:space="preserve">Cadets  </v>
      </c>
      <c r="K34" s="216">
        <v>251</v>
      </c>
      <c r="L34" s="216">
        <v>6</v>
      </c>
      <c r="M34" s="216">
        <v>1</v>
      </c>
      <c r="N34" s="216" t="str">
        <f>""</f>
        <v/>
      </c>
      <c r="O34" s="216">
        <v>270</v>
      </c>
      <c r="P34" s="216">
        <v>2</v>
      </c>
      <c r="Q34" s="216">
        <v>5</v>
      </c>
      <c r="R34" s="216" t="str">
        <f>""</f>
        <v/>
      </c>
      <c r="S34" s="216">
        <v>278</v>
      </c>
      <c r="T34" s="216">
        <v>5</v>
      </c>
      <c r="U34" s="216">
        <v>9</v>
      </c>
      <c r="V34" s="216" t="str">
        <f t="shared" si="4"/>
        <v/>
      </c>
      <c r="W34" s="216">
        <f t="shared" si="9"/>
        <v>799</v>
      </c>
      <c r="X34" s="216">
        <f t="shared" si="5"/>
        <v>13</v>
      </c>
      <c r="Y34" s="216">
        <f t="shared" si="6"/>
        <v>15</v>
      </c>
      <c r="AG34" s="120"/>
    </row>
    <row r="35" spans="1:33" ht="13.5" customHeight="1" x14ac:dyDescent="0.2">
      <c r="A35" s="151">
        <f t="shared" si="10"/>
        <v>21</v>
      </c>
      <c r="B35" s="151">
        <f>IF(A35="",-1,IF(Data!$AP$3=2,IFERROR(SUM('Start List'!W35,X35/100,-A35/1000000),IFERROR(SUM(W35,-A35/1000000),0)),IFERROR(SUM(W35,X35/100,Y35/10000,-A35/1000000),IFERROR(SUM(W35,-A35/1000000),0))))</f>
        <v>751.06107899999995</v>
      </c>
      <c r="C35" s="151">
        <f>IF(A35="",-1,IF(Data!$AP$3=2,IFERROR(SUM('Start List'!W35,X35/100,-A35/1000000),IFERROR(SUM(W35,-A35/1000000),0)),IFERROR(SUM(W35,X35/100,Y35/10000,-A35/1000000),IFERROR(SUM(W35,-A35/1000000),0))))+IF(OR(G35="M",G35="H"),1000,0)</f>
        <v>751.06107899999995</v>
      </c>
      <c r="D35" s="213" t="s">
        <v>1164</v>
      </c>
      <c r="E35" s="214" t="s">
        <v>1165</v>
      </c>
      <c r="F35" s="215" t="s">
        <v>6</v>
      </c>
      <c r="G35" s="215" t="s">
        <v>3</v>
      </c>
      <c r="H35" s="155" t="e">
        <f>VLOOKUP(E35,Data!$A$1:$B$400,2,FALSE)</f>
        <v>#N/A</v>
      </c>
      <c r="I35" s="82">
        <f t="shared" si="11"/>
        <v>8</v>
      </c>
      <c r="J35" s="87" t="str">
        <f t="shared" si="8"/>
        <v xml:space="preserve">Cadets  </v>
      </c>
      <c r="K35" s="216">
        <v>232</v>
      </c>
      <c r="L35" s="216">
        <v>1</v>
      </c>
      <c r="M35" s="216">
        <v>1</v>
      </c>
      <c r="N35" s="216" t="str">
        <f>""</f>
        <v/>
      </c>
      <c r="O35" s="216">
        <v>262</v>
      </c>
      <c r="P35" s="216">
        <v>2</v>
      </c>
      <c r="Q35" s="216">
        <v>6</v>
      </c>
      <c r="R35" s="216" t="str">
        <f>""</f>
        <v/>
      </c>
      <c r="S35" s="216">
        <v>257</v>
      </c>
      <c r="T35" s="216">
        <v>3</v>
      </c>
      <c r="U35" s="216">
        <v>4</v>
      </c>
      <c r="V35" s="216" t="str">
        <f t="shared" si="4"/>
        <v/>
      </c>
      <c r="W35" s="216">
        <f t="shared" si="9"/>
        <v>751</v>
      </c>
      <c r="X35" s="216">
        <f t="shared" si="5"/>
        <v>6</v>
      </c>
      <c r="Y35" s="216">
        <f t="shared" si="6"/>
        <v>11</v>
      </c>
      <c r="AG35" s="120"/>
    </row>
    <row r="36" spans="1:33" ht="13.5" customHeight="1" x14ac:dyDescent="0.2">
      <c r="A36" s="151">
        <f t="shared" si="10"/>
        <v>22</v>
      </c>
      <c r="B36" s="151">
        <f>IF(A36="",-1,IF(Data!$AP$3=2,IFERROR(SUM('Start List'!W36,X36/100,-A36/1000000),IFERROR(SUM(W36,-A36/1000000),0)),IFERROR(SUM(W36,X36/100,Y36/10000,-A36/1000000),IFERROR(SUM(W36,-A36/1000000),0))))</f>
        <v>755.13037800000006</v>
      </c>
      <c r="C36" s="151">
        <f>IF(A36="",-1,IF(Data!$AP$3=2,IFERROR(SUM('Start List'!W36,X36/100,-A36/1000000),IFERROR(SUM(W36,-A36/1000000),0)),IFERROR(SUM(W36,X36/100,Y36/10000,-A36/1000000),IFERROR(SUM(W36,-A36/1000000),0))))+IF(OR(G36="M",G36="H"),1000,0)</f>
        <v>1755.1303780000001</v>
      </c>
      <c r="D36" s="213" t="s">
        <v>1166</v>
      </c>
      <c r="E36" s="214" t="s">
        <v>1141</v>
      </c>
      <c r="F36" s="215" t="s">
        <v>6</v>
      </c>
      <c r="G36" s="215" t="s">
        <v>4</v>
      </c>
      <c r="H36" s="155" t="e">
        <f>VLOOKUP(E36,Data!$A$1:$B$400,2,FALSE)</f>
        <v>#N/A</v>
      </c>
      <c r="I36" s="82">
        <f t="shared" si="11"/>
        <v>8</v>
      </c>
      <c r="J36" s="87" t="str">
        <f t="shared" si="8"/>
        <v xml:space="preserve">Cadets  </v>
      </c>
      <c r="K36" s="216">
        <v>231</v>
      </c>
      <c r="L36" s="216">
        <v>5</v>
      </c>
      <c r="M36" s="216">
        <v>1</v>
      </c>
      <c r="N36" s="216" t="str">
        <f>""</f>
        <v/>
      </c>
      <c r="O36" s="216">
        <v>259</v>
      </c>
      <c r="P36" s="216">
        <v>2</v>
      </c>
      <c r="Q36" s="216">
        <v>1</v>
      </c>
      <c r="R36" s="216" t="str">
        <f>""</f>
        <v/>
      </c>
      <c r="S36" s="216">
        <v>265</v>
      </c>
      <c r="T36" s="216">
        <v>6</v>
      </c>
      <c r="U36" s="216">
        <v>2</v>
      </c>
      <c r="V36" s="216" t="str">
        <f t="shared" si="4"/>
        <v/>
      </c>
      <c r="W36" s="216">
        <f t="shared" si="9"/>
        <v>755</v>
      </c>
      <c r="X36" s="216">
        <f t="shared" si="5"/>
        <v>13</v>
      </c>
      <c r="Y36" s="216">
        <f t="shared" si="6"/>
        <v>4</v>
      </c>
      <c r="AG36" s="120"/>
    </row>
    <row r="37" spans="1:33" ht="13.5" customHeight="1" x14ac:dyDescent="0.2">
      <c r="A37" s="151">
        <f t="shared" si="10"/>
        <v>23</v>
      </c>
      <c r="B37" s="151">
        <f>IF(A37="",-1,IF(Data!$AP$3=2,IFERROR(SUM('Start List'!W37,X37/100,-A37/1000000),IFERROR(SUM(W37,-A37/1000000),0)),IFERROR(SUM(W37,X37/100,Y37/10000,-A37/1000000),IFERROR(SUM(W37,-A37/1000000),0))))</f>
        <v>796.16097699999989</v>
      </c>
      <c r="C37" s="151">
        <f>IF(A37="",-1,IF(Data!$AP$3=2,IFERROR(SUM('Start List'!W37,X37/100,-A37/1000000),IFERROR(SUM(W37,-A37/1000000),0)),IFERROR(SUM(W37,X37/100,Y37/10000,-A37/1000000),IFERROR(SUM(W37,-A37/1000000),0))))+IF(OR(G37="M",G37="H"),1000,0)</f>
        <v>1796.160977</v>
      </c>
      <c r="D37" s="213" t="s">
        <v>1167</v>
      </c>
      <c r="E37" s="214" t="s">
        <v>61</v>
      </c>
      <c r="F37" s="215" t="s">
        <v>6</v>
      </c>
      <c r="G37" s="215" t="s">
        <v>4</v>
      </c>
      <c r="H37" s="155" t="e">
        <f>VLOOKUP(E37,Data!$A$1:$B$400,2,FALSE)</f>
        <v>#N/A</v>
      </c>
      <c r="I37" s="82">
        <f t="shared" si="11"/>
        <v>8</v>
      </c>
      <c r="J37" s="87" t="str">
        <f t="shared" si="8"/>
        <v xml:space="preserve">Cadets  </v>
      </c>
      <c r="K37" s="216">
        <v>245</v>
      </c>
      <c r="L37" s="216">
        <v>5</v>
      </c>
      <c r="M37" s="216">
        <v>0</v>
      </c>
      <c r="N37" s="216" t="str">
        <f>""</f>
        <v/>
      </c>
      <c r="O37" s="216">
        <v>275</v>
      </c>
      <c r="P37" s="216">
        <v>3</v>
      </c>
      <c r="Q37" s="216">
        <v>6</v>
      </c>
      <c r="R37" s="216" t="str">
        <f>""</f>
        <v/>
      </c>
      <c r="S37" s="216">
        <v>276</v>
      </c>
      <c r="T37" s="216">
        <v>8</v>
      </c>
      <c r="U37" s="216">
        <v>4</v>
      </c>
      <c r="V37" s="216" t="str">
        <f t="shared" si="4"/>
        <v/>
      </c>
      <c r="W37" s="216">
        <f t="shared" si="9"/>
        <v>796</v>
      </c>
      <c r="X37" s="216">
        <f t="shared" si="5"/>
        <v>16</v>
      </c>
      <c r="Y37" s="216">
        <f t="shared" si="6"/>
        <v>10</v>
      </c>
      <c r="AG37" s="120"/>
    </row>
    <row r="38" spans="1:33" ht="13.5" customHeight="1" x14ac:dyDescent="0.2">
      <c r="A38" s="151">
        <f t="shared" si="10"/>
        <v>24</v>
      </c>
      <c r="B38" s="151">
        <f>IF(A38="",-1,IF(Data!$AP$3=2,IFERROR(SUM('Start List'!W38,X38/100,-A38/1000000),IFERROR(SUM(W38,-A38/1000000),0)),IFERROR(SUM(W38,X38/100,Y38/10000,-A38/1000000),IFERROR(SUM(W38,-A38/1000000),0))))</f>
        <v>802.24077599999998</v>
      </c>
      <c r="C38" s="151">
        <f>IF(A38="",-1,IF(Data!$AP$3=2,IFERROR(SUM('Start List'!W38,X38/100,-A38/1000000),IFERROR(SUM(W38,-A38/1000000),0)),IFERROR(SUM(W38,X38/100,Y38/10000,-A38/1000000),IFERROR(SUM(W38,-A38/1000000),0))))+IF(OR(G38="M",G38="H"),1000,0)</f>
        <v>1802.2407760000001</v>
      </c>
      <c r="D38" s="213" t="s">
        <v>1168</v>
      </c>
      <c r="E38" s="214" t="s">
        <v>1148</v>
      </c>
      <c r="F38" s="215" t="s">
        <v>34</v>
      </c>
      <c r="G38" s="215" t="s">
        <v>4</v>
      </c>
      <c r="H38" s="155" t="e">
        <f>VLOOKUP(E38,Data!$A$1:$B$400,2,FALSE)</f>
        <v>#N/A</v>
      </c>
      <c r="I38" s="82">
        <f t="shared" si="11"/>
        <v>10</v>
      </c>
      <c r="J38" s="87" t="str">
        <f t="shared" si="8"/>
        <v>Senior Men</v>
      </c>
      <c r="K38" s="216">
        <v>253</v>
      </c>
      <c r="L38" s="216">
        <v>4</v>
      </c>
      <c r="M38" s="216">
        <v>3</v>
      </c>
      <c r="N38" s="216" t="str">
        <f>""</f>
        <v/>
      </c>
      <c r="O38" s="216">
        <v>263</v>
      </c>
      <c r="P38" s="216">
        <v>7</v>
      </c>
      <c r="Q38" s="216">
        <v>0</v>
      </c>
      <c r="R38" s="216" t="str">
        <f>""</f>
        <v/>
      </c>
      <c r="S38" s="216">
        <v>286</v>
      </c>
      <c r="T38" s="216">
        <v>13</v>
      </c>
      <c r="U38" s="216">
        <v>5</v>
      </c>
      <c r="V38" s="216" t="str">
        <f t="shared" si="4"/>
        <v/>
      </c>
      <c r="W38" s="216">
        <f t="shared" si="9"/>
        <v>802</v>
      </c>
      <c r="X38" s="216">
        <f t="shared" si="5"/>
        <v>24</v>
      </c>
      <c r="Y38" s="216">
        <f t="shared" si="6"/>
        <v>8</v>
      </c>
      <c r="AG38" s="120"/>
    </row>
    <row r="39" spans="1:33" ht="13.5" customHeight="1" x14ac:dyDescent="0.2">
      <c r="A39" s="151">
        <f t="shared" si="10"/>
        <v>25</v>
      </c>
      <c r="B39" s="151">
        <f>IF(A39="",-1,IF(Data!$AP$3=2,IFERROR(SUM('Start List'!W39,X39/100,-A39/1000000),IFERROR(SUM(W39,-A39/1000000),0)),IFERROR(SUM(W39,X39/100,Y39/10000,-A39/1000000),IFERROR(SUM(W39,-A39/1000000),0))))</f>
        <v>774.13097499999992</v>
      </c>
      <c r="C39" s="151">
        <f>IF(A39="",-1,IF(Data!$AP$3=2,IFERROR(SUM('Start List'!W39,X39/100,-A39/1000000),IFERROR(SUM(W39,-A39/1000000),0)),IFERROR(SUM(W39,X39/100,Y39/10000,-A39/1000000),IFERROR(SUM(W39,-A39/1000000),0))))+IF(OR(G39="M",G39="H"),1000,0)</f>
        <v>1774.130975</v>
      </c>
      <c r="D39" s="213" t="s">
        <v>1169</v>
      </c>
      <c r="E39" s="214" t="s">
        <v>1144</v>
      </c>
      <c r="F39" s="215" t="s">
        <v>34</v>
      </c>
      <c r="G39" s="215" t="s">
        <v>4</v>
      </c>
      <c r="H39" s="155" t="e">
        <f>VLOOKUP(E39,Data!$A$1:$B$400,2,FALSE)</f>
        <v>#N/A</v>
      </c>
      <c r="I39" s="82">
        <f t="shared" si="11"/>
        <v>10</v>
      </c>
      <c r="J39" s="87" t="str">
        <f t="shared" si="8"/>
        <v>Senior Men</v>
      </c>
      <c r="K39" s="216">
        <v>243</v>
      </c>
      <c r="L39" s="216">
        <v>3</v>
      </c>
      <c r="M39" s="216">
        <v>2</v>
      </c>
      <c r="N39" s="216" t="str">
        <f>""</f>
        <v/>
      </c>
      <c r="O39" s="216">
        <v>269</v>
      </c>
      <c r="P39" s="216">
        <v>7</v>
      </c>
      <c r="Q39" s="216">
        <v>4</v>
      </c>
      <c r="R39" s="216" t="str">
        <f>""</f>
        <v/>
      </c>
      <c r="S39" s="216">
        <v>262</v>
      </c>
      <c r="T39" s="216">
        <v>3</v>
      </c>
      <c r="U39" s="216">
        <v>4</v>
      </c>
      <c r="V39" s="216" t="str">
        <f t="shared" si="4"/>
        <v/>
      </c>
      <c r="W39" s="216">
        <f t="shared" si="9"/>
        <v>774</v>
      </c>
      <c r="X39" s="216">
        <f t="shared" si="5"/>
        <v>13</v>
      </c>
      <c r="Y39" s="216">
        <f t="shared" si="6"/>
        <v>10</v>
      </c>
      <c r="AG39" s="120"/>
    </row>
    <row r="40" spans="1:33" ht="13.5" customHeight="1" x14ac:dyDescent="0.2">
      <c r="A40" s="151">
        <f t="shared" si="10"/>
        <v>26</v>
      </c>
      <c r="B40" s="151">
        <f>IF(A40="",-1,IF(Data!$AP$3=2,IFERROR(SUM('Start List'!W40,X40/100,-A40/1000000),IFERROR(SUM(W40,-A40/1000000),0)),IFERROR(SUM(W40,X40/100,Y40/10000,-A40/1000000),IFERROR(SUM(W40,-A40/1000000),0))))</f>
        <v>735.04057399999988</v>
      </c>
      <c r="C40" s="151">
        <f>IF(A40="",-1,IF(Data!$AP$3=2,IFERROR(SUM('Start List'!W40,X40/100,-A40/1000000),IFERROR(SUM(W40,-A40/1000000),0)),IFERROR(SUM(W40,X40/100,Y40/10000,-A40/1000000),IFERROR(SUM(W40,-A40/1000000),0))))+IF(OR(G40="M",G40="H"),1000,0)</f>
        <v>1735.0405739999999</v>
      </c>
      <c r="D40" s="213" t="s">
        <v>1170</v>
      </c>
      <c r="E40" s="214" t="s">
        <v>1141</v>
      </c>
      <c r="F40" s="215" t="s">
        <v>34</v>
      </c>
      <c r="G40" s="215" t="s">
        <v>4</v>
      </c>
      <c r="H40" s="155" t="e">
        <f>VLOOKUP(E40,Data!$A$1:$B$400,2,FALSE)</f>
        <v>#N/A</v>
      </c>
      <c r="I40" s="82">
        <f t="shared" si="11"/>
        <v>10</v>
      </c>
      <c r="J40" s="87" t="str">
        <f t="shared" si="8"/>
        <v>Senior Men</v>
      </c>
      <c r="K40" s="216">
        <v>216</v>
      </c>
      <c r="L40" s="216">
        <v>0</v>
      </c>
      <c r="M40" s="216">
        <v>1</v>
      </c>
      <c r="N40" s="216" t="str">
        <f>""</f>
        <v/>
      </c>
      <c r="O40" s="216">
        <v>261</v>
      </c>
      <c r="P40" s="216">
        <v>1</v>
      </c>
      <c r="Q40" s="216">
        <v>1</v>
      </c>
      <c r="R40" s="216" t="str">
        <f>""</f>
        <v/>
      </c>
      <c r="S40" s="216">
        <v>258</v>
      </c>
      <c r="T40" s="216">
        <v>3</v>
      </c>
      <c r="U40" s="216">
        <v>4</v>
      </c>
      <c r="V40" s="216" t="str">
        <f t="shared" si="4"/>
        <v/>
      </c>
      <c r="W40" s="216">
        <f t="shared" si="9"/>
        <v>735</v>
      </c>
      <c r="X40" s="216">
        <f t="shared" si="5"/>
        <v>4</v>
      </c>
      <c r="Y40" s="216">
        <f t="shared" si="6"/>
        <v>6</v>
      </c>
      <c r="AG40" s="120"/>
    </row>
    <row r="41" spans="1:33" ht="13.5" customHeight="1" x14ac:dyDescent="0.2">
      <c r="A41" s="151">
        <f t="shared" si="10"/>
        <v>27</v>
      </c>
      <c r="B41" s="151">
        <f>IF(A41="",-1,IF(Data!$AP$3=2,IFERROR(SUM('Start List'!W41,X41/100,-A41/1000000),IFERROR(SUM(W41,-A41/1000000),0)),IFERROR(SUM(W41,X41/100,Y41/10000,-A41/1000000),IFERROR(SUM(W41,-A41/1000000),0))))</f>
        <v>737.11057299999993</v>
      </c>
      <c r="C41" s="151">
        <f>IF(A41="",-1,IF(Data!$AP$3=2,IFERROR(SUM('Start List'!W41,X41/100,-A41/1000000),IFERROR(SUM(W41,-A41/1000000),0)),IFERROR(SUM(W41,X41/100,Y41/10000,-A41/1000000),IFERROR(SUM(W41,-A41/1000000),0))))+IF(OR(G41="M",G41="H"),1000,0)</f>
        <v>1737.1105729999999</v>
      </c>
      <c r="D41" s="213" t="s">
        <v>1171</v>
      </c>
      <c r="E41" s="214" t="s">
        <v>1172</v>
      </c>
      <c r="F41" s="215" t="s">
        <v>34</v>
      </c>
      <c r="G41" s="215" t="s">
        <v>4</v>
      </c>
      <c r="H41" s="155" t="e">
        <f>VLOOKUP(E41,Data!$A$1:$B$400,2,FALSE)</f>
        <v>#N/A</v>
      </c>
      <c r="I41" s="82">
        <f t="shared" si="11"/>
        <v>10</v>
      </c>
      <c r="J41" s="87" t="str">
        <f t="shared" si="8"/>
        <v>Senior Men</v>
      </c>
      <c r="K41" s="216">
        <v>213</v>
      </c>
      <c r="L41" s="216">
        <v>0</v>
      </c>
      <c r="M41" s="216">
        <v>0</v>
      </c>
      <c r="N41" s="216" t="str">
        <f>""</f>
        <v/>
      </c>
      <c r="O41" s="216">
        <v>263</v>
      </c>
      <c r="P41" s="216">
        <v>6</v>
      </c>
      <c r="Q41" s="216">
        <v>2</v>
      </c>
      <c r="R41" s="216" t="str">
        <f>""</f>
        <v/>
      </c>
      <c r="S41" s="216">
        <v>261</v>
      </c>
      <c r="T41" s="216">
        <v>5</v>
      </c>
      <c r="U41" s="216">
        <v>4</v>
      </c>
      <c r="V41" s="216" t="str">
        <f t="shared" si="4"/>
        <v/>
      </c>
      <c r="W41" s="216">
        <f t="shared" si="9"/>
        <v>737</v>
      </c>
      <c r="X41" s="216">
        <f t="shared" si="5"/>
        <v>11</v>
      </c>
      <c r="Y41" s="216">
        <f t="shared" si="6"/>
        <v>6</v>
      </c>
      <c r="AG41" s="120"/>
    </row>
    <row r="42" spans="1:33" ht="13.5" customHeight="1" x14ac:dyDescent="0.2">
      <c r="A42" s="151">
        <f t="shared" si="10"/>
        <v>28</v>
      </c>
      <c r="B42" s="151">
        <f>IF(A42="",-1,IF(Data!$AP$3=2,IFERROR(SUM('Start List'!W42,X42/100,-A42/1000000),IFERROR(SUM(W42,-A42/1000000),0)),IFERROR(SUM(W42,X42/100,Y42/10000,-A42/1000000),IFERROR(SUM(W42,-A42/1000000),0))))</f>
        <v>-2.8E-5</v>
      </c>
      <c r="C42" s="151">
        <f>IF(A42="",-1,IF(Data!$AP$3=2,IFERROR(SUM('Start List'!W42,X42/100,-A42/1000000),IFERROR(SUM(W42,-A42/1000000),0)),IFERROR(SUM(W42,X42/100,Y42/10000,-A42/1000000),IFERROR(SUM(W42,-A42/1000000),0))))+IF(OR(G42="M",G42="H"),1000,0)</f>
        <v>999.99997199999996</v>
      </c>
      <c r="D42" s="213" t="s">
        <v>1173</v>
      </c>
      <c r="E42" s="214" t="s">
        <v>1148</v>
      </c>
      <c r="F42" s="215" t="s">
        <v>34</v>
      </c>
      <c r="G42" s="215" t="s">
        <v>4</v>
      </c>
      <c r="H42" s="155" t="e">
        <f>VLOOKUP(E42,Data!$A$1:$B$400,2,FALSE)</f>
        <v>#N/A</v>
      </c>
      <c r="I42" s="82">
        <f t="shared" si="11"/>
        <v>10</v>
      </c>
      <c r="J42" s="87" t="str">
        <f t="shared" si="8"/>
        <v>Senior Men</v>
      </c>
      <c r="K42" s="216">
        <v>0</v>
      </c>
      <c r="L42" s="216">
        <v>0</v>
      </c>
      <c r="M42" s="216">
        <v>0</v>
      </c>
      <c r="N42" s="216" t="str">
        <f>""</f>
        <v/>
      </c>
      <c r="O42" s="216">
        <v>0</v>
      </c>
      <c r="P42" s="216">
        <v>0</v>
      </c>
      <c r="Q42" s="216">
        <v>0</v>
      </c>
      <c r="R42" s="216" t="str">
        <f>""</f>
        <v/>
      </c>
      <c r="S42" s="216">
        <v>0</v>
      </c>
      <c r="T42" s="216">
        <v>0</v>
      </c>
      <c r="U42" s="216">
        <v>0</v>
      </c>
      <c r="V42" s="216"/>
      <c r="W42" s="216">
        <f t="shared" si="9"/>
        <v>0</v>
      </c>
      <c r="X42" s="216">
        <f t="shared" si="5"/>
        <v>0</v>
      </c>
      <c r="Y42" s="216">
        <f t="shared" si="6"/>
        <v>0</v>
      </c>
      <c r="AG42" s="120"/>
    </row>
    <row r="43" spans="1:33" ht="13.5" customHeight="1" x14ac:dyDescent="0.2">
      <c r="A43" s="151">
        <f t="shared" si="10"/>
        <v>29</v>
      </c>
      <c r="B43" s="151">
        <f>IF(A43="",-1,IF(Data!$AP$3=2,IFERROR(SUM('Start List'!W43,X43/100,-A43/1000000),IFERROR(SUM(W43,-A43/1000000),0)),IFERROR(SUM(W43,X43/100,Y43/10000,-A43/1000000),IFERROR(SUM(W43,-A43/1000000),0))))</f>
        <v>718.08097099999998</v>
      </c>
      <c r="C43" s="151">
        <f>IF(A43="",-1,IF(Data!$AP$3=2,IFERROR(SUM('Start List'!W43,X43/100,-A43/1000000),IFERROR(SUM(W43,-A43/1000000),0)),IFERROR(SUM(W43,X43/100,Y43/10000,-A43/1000000),IFERROR(SUM(W43,-A43/1000000),0))))+IF(OR(G43="M",G43="H"),1000,0)</f>
        <v>1718.0809709999999</v>
      </c>
      <c r="D43" s="213" t="s">
        <v>1174</v>
      </c>
      <c r="E43" s="214" t="s">
        <v>1144</v>
      </c>
      <c r="F43" s="215" t="s">
        <v>34</v>
      </c>
      <c r="G43" s="215" t="s">
        <v>4</v>
      </c>
      <c r="H43" s="155" t="e">
        <f>VLOOKUP(E43,Data!$A$1:$B$400,2,FALSE)</f>
        <v>#N/A</v>
      </c>
      <c r="I43" s="82">
        <f t="shared" si="11"/>
        <v>10</v>
      </c>
      <c r="J43" s="87" t="str">
        <f t="shared" si="8"/>
        <v>Senior Men</v>
      </c>
      <c r="K43" s="216">
        <v>199</v>
      </c>
      <c r="L43" s="216">
        <v>1</v>
      </c>
      <c r="M43" s="216">
        <v>2</v>
      </c>
      <c r="N43" s="216" t="str">
        <f>""</f>
        <v/>
      </c>
      <c r="O43" s="216">
        <v>261</v>
      </c>
      <c r="P43" s="216">
        <v>4</v>
      </c>
      <c r="Q43" s="216">
        <v>4</v>
      </c>
      <c r="R43" s="216" t="str">
        <f>""</f>
        <v/>
      </c>
      <c r="S43" s="216">
        <v>258</v>
      </c>
      <c r="T43" s="216">
        <v>3</v>
      </c>
      <c r="U43" s="216">
        <v>4</v>
      </c>
      <c r="V43" s="216" t="str">
        <f t="shared" si="4"/>
        <v/>
      </c>
      <c r="W43" s="216">
        <f t="shared" si="9"/>
        <v>718</v>
      </c>
      <c r="X43" s="216">
        <f t="shared" si="5"/>
        <v>8</v>
      </c>
      <c r="Y43" s="216">
        <f t="shared" si="6"/>
        <v>10</v>
      </c>
      <c r="AG43" s="120"/>
    </row>
    <row r="44" spans="1:33" ht="13.5" customHeight="1" x14ac:dyDescent="0.2">
      <c r="A44" s="151">
        <f t="shared" si="10"/>
        <v>30</v>
      </c>
      <c r="B44" s="151">
        <f>IF(A44="",-1,IF(Data!$AP$3=2,IFERROR(SUM('Start List'!W44,X44/100,-A44/1000000),IFERROR(SUM(W44,-A44/1000000),0)),IFERROR(SUM(W44,X44/100,Y44/10000,-A44/1000000),IFERROR(SUM(W44,-A44/1000000),0))))</f>
        <v>780.12157000000002</v>
      </c>
      <c r="C44" s="151">
        <f>IF(A44="",-1,IF(Data!$AP$3=2,IFERROR(SUM('Start List'!W44,X44/100,-A44/1000000),IFERROR(SUM(W44,-A44/1000000),0)),IFERROR(SUM(W44,X44/100,Y44/10000,-A44/1000000),IFERROR(SUM(W44,-A44/1000000),0))))+IF(OR(G44="M",G44="H"),1000,0)</f>
        <v>780.12157000000002</v>
      </c>
      <c r="D44" s="213" t="s">
        <v>1175</v>
      </c>
      <c r="E44" s="214" t="s">
        <v>1144</v>
      </c>
      <c r="F44" s="215" t="s">
        <v>35</v>
      </c>
      <c r="G44" s="215" t="s">
        <v>3</v>
      </c>
      <c r="H44" s="155" t="e">
        <f>VLOOKUP(E44,Data!$A$1:$B$400,2,FALSE)</f>
        <v>#N/A</v>
      </c>
      <c r="I44" s="82">
        <f t="shared" si="11"/>
        <v>12</v>
      </c>
      <c r="J44" s="87" t="str">
        <f t="shared" si="8"/>
        <v>Senior Women</v>
      </c>
      <c r="K44" s="216">
        <v>234</v>
      </c>
      <c r="L44" s="216">
        <v>2</v>
      </c>
      <c r="M44" s="216">
        <v>2</v>
      </c>
      <c r="N44" s="216" t="str">
        <f>""</f>
        <v/>
      </c>
      <c r="O44" s="216">
        <v>270</v>
      </c>
      <c r="P44" s="216">
        <v>6</v>
      </c>
      <c r="Q44" s="216">
        <v>5</v>
      </c>
      <c r="R44" s="216" t="str">
        <f>""</f>
        <v/>
      </c>
      <c r="S44" s="216">
        <v>276</v>
      </c>
      <c r="T44" s="216">
        <v>4</v>
      </c>
      <c r="U44" s="216">
        <v>9</v>
      </c>
      <c r="V44" s="216" t="str">
        <f t="shared" si="4"/>
        <v/>
      </c>
      <c r="W44" s="216">
        <f t="shared" si="9"/>
        <v>780</v>
      </c>
      <c r="X44" s="216">
        <f t="shared" si="5"/>
        <v>12</v>
      </c>
      <c r="Y44" s="216">
        <f t="shared" si="6"/>
        <v>16</v>
      </c>
      <c r="AG44" s="120"/>
    </row>
    <row r="45" spans="1:33" ht="13.5" customHeight="1" x14ac:dyDescent="0.2">
      <c r="A45" s="151">
        <f t="shared" si="10"/>
        <v>31</v>
      </c>
      <c r="B45" s="151">
        <f>IF(A45="",-1,IF(Data!$AP$3=2,IFERROR(SUM('Start List'!W45,X45/100,-A45/1000000),IFERROR(SUM(W45,-A45/1000000),0)),IFERROR(SUM(W45,X45/100,Y45/10000,-A45/1000000),IFERROR(SUM(W45,-A45/1000000),0))))</f>
        <v>795.18106899999987</v>
      </c>
      <c r="C45" s="151">
        <f>IF(A45="",-1,IF(Data!$AP$3=2,IFERROR(SUM('Start List'!W45,X45/100,-A45/1000000),IFERROR(SUM(W45,-A45/1000000),0)),IFERROR(SUM(W45,X45/100,Y45/10000,-A45/1000000),IFERROR(SUM(W45,-A45/1000000),0))))+IF(OR(G45="M",G45="H"),1000,0)</f>
        <v>795.18106899999987</v>
      </c>
      <c r="D45" s="213" t="s">
        <v>1176</v>
      </c>
      <c r="E45" s="214" t="s">
        <v>1148</v>
      </c>
      <c r="F45" s="215" t="s">
        <v>35</v>
      </c>
      <c r="G45" s="215" t="s">
        <v>3</v>
      </c>
      <c r="H45" s="155" t="e">
        <f>VLOOKUP(E45,Data!$A$1:$B$400,2,FALSE)</f>
        <v>#N/A</v>
      </c>
      <c r="I45" s="82">
        <f t="shared" si="11"/>
        <v>12</v>
      </c>
      <c r="J45" s="87" t="str">
        <f t="shared" si="8"/>
        <v>Senior Women</v>
      </c>
      <c r="K45" s="216">
        <v>250</v>
      </c>
      <c r="L45" s="216">
        <v>4</v>
      </c>
      <c r="M45" s="216">
        <v>2</v>
      </c>
      <c r="N45" s="216" t="str">
        <f>""</f>
        <v/>
      </c>
      <c r="O45" s="216">
        <v>262</v>
      </c>
      <c r="P45" s="216">
        <v>5</v>
      </c>
      <c r="Q45" s="216">
        <v>1</v>
      </c>
      <c r="R45" s="216" t="str">
        <f>""</f>
        <v/>
      </c>
      <c r="S45" s="216">
        <v>283</v>
      </c>
      <c r="T45" s="216">
        <v>9</v>
      </c>
      <c r="U45" s="216">
        <v>8</v>
      </c>
      <c r="V45" s="216" t="str">
        <f t="shared" si="4"/>
        <v/>
      </c>
      <c r="W45" s="216">
        <f t="shared" si="9"/>
        <v>795</v>
      </c>
      <c r="X45" s="216">
        <f t="shared" si="5"/>
        <v>18</v>
      </c>
      <c r="Y45" s="216">
        <f t="shared" si="6"/>
        <v>11</v>
      </c>
      <c r="AG45" s="120"/>
    </row>
    <row r="46" spans="1:33" ht="13.5" customHeight="1" x14ac:dyDescent="0.2">
      <c r="A46" s="151">
        <f t="shared" si="10"/>
        <v>32</v>
      </c>
      <c r="B46" s="151">
        <f>IF(A46="",-1,IF(Data!$AP$3=2,IFERROR(SUM('Start List'!W46,X46/100,-A46/1000000),IFERROR(SUM(W46,-A46/1000000),0)),IFERROR(SUM(W46,X46/100,Y46/10000,-A46/1000000),IFERROR(SUM(W46,-A46/1000000),0))))</f>
        <v>759.11086799999998</v>
      </c>
      <c r="C46" s="151">
        <f>IF(A46="",-1,IF(Data!$AP$3=2,IFERROR(SUM('Start List'!W46,X46/100,-A46/1000000),IFERROR(SUM(W46,-A46/1000000),0)),IFERROR(SUM(W46,X46/100,Y46/10000,-A46/1000000),IFERROR(SUM(W46,-A46/1000000),0))))+IF(OR(G46="M",G46="H"),1000,0)</f>
        <v>759.11086799999998</v>
      </c>
      <c r="D46" s="213" t="s">
        <v>1177</v>
      </c>
      <c r="E46" s="214" t="s">
        <v>1144</v>
      </c>
      <c r="F46" s="215" t="s">
        <v>35</v>
      </c>
      <c r="G46" s="215" t="s">
        <v>3</v>
      </c>
      <c r="H46" s="155" t="e">
        <f>VLOOKUP(E46,Data!$A$1:$B$400,2,FALSE)</f>
        <v>#N/A</v>
      </c>
      <c r="I46" s="82">
        <f t="shared" si="11"/>
        <v>12</v>
      </c>
      <c r="J46" s="87" t="str">
        <f t="shared" si="8"/>
        <v>Senior Women</v>
      </c>
      <c r="K46" s="216">
        <v>248</v>
      </c>
      <c r="L46" s="216">
        <v>3</v>
      </c>
      <c r="M46" s="216">
        <v>3</v>
      </c>
      <c r="N46" s="216" t="str">
        <f>""</f>
        <v/>
      </c>
      <c r="O46" s="216">
        <v>253</v>
      </c>
      <c r="P46" s="216">
        <v>4</v>
      </c>
      <c r="Q46" s="216">
        <v>1</v>
      </c>
      <c r="R46" s="216" t="str">
        <f>""</f>
        <v/>
      </c>
      <c r="S46" s="216">
        <v>258</v>
      </c>
      <c r="T46" s="216">
        <v>4</v>
      </c>
      <c r="U46" s="216">
        <v>5</v>
      </c>
      <c r="V46" s="216" t="str">
        <f t="shared" si="4"/>
        <v/>
      </c>
      <c r="W46" s="216">
        <f t="shared" si="9"/>
        <v>759</v>
      </c>
      <c r="X46" s="216">
        <f t="shared" si="5"/>
        <v>11</v>
      </c>
      <c r="Y46" s="216">
        <f t="shared" si="6"/>
        <v>9</v>
      </c>
      <c r="AG46" s="120"/>
    </row>
    <row r="47" spans="1:33" ht="13.5" customHeight="1" x14ac:dyDescent="0.2">
      <c r="A47" s="151" t="str">
        <f t="shared" si="10"/>
        <v/>
      </c>
      <c r="B47" s="151">
        <f>IF(A47="",-1,IF(Data!$AP$3=2,IFERROR(SUM('Start List'!W47,X47/100,-A47/1000000),IFERROR(SUM(W47,-A47/1000000),0)),IFERROR(SUM(W47,X47/100,Y47/10000,-A47/1000000),IFERROR(SUM(W47,-A47/1000000),0))))</f>
        <v>-1</v>
      </c>
      <c r="C47" s="151">
        <f>IF(A47="",-1,IF(Data!$AP$3=2,IFERROR(SUM('Start List'!W47,X47/100,-A47/1000000),IFERROR(SUM(W47,-A47/1000000),0)),IFERROR(SUM(W47,X47/100,Y47/10000,-A47/1000000),IFERROR(SUM(W47,-A47/1000000),0))))+IF(OR(G47="M",G47="H"),1000,0)</f>
        <v>-1</v>
      </c>
      <c r="D47" s="213"/>
      <c r="E47" s="214"/>
      <c r="F47" s="215"/>
      <c r="G47" s="215"/>
      <c r="H47" s="155" t="e">
        <f>VLOOKUP(E47,Data!$A$1:$B$400,2,FALSE)</f>
        <v>#N/A</v>
      </c>
      <c r="I47" s="82">
        <f t="shared" si="11"/>
        <v>100</v>
      </c>
      <c r="J47" s="87" t="str">
        <f t="shared" si="8"/>
        <v/>
      </c>
      <c r="K47" s="216" t="str">
        <f>""</f>
        <v/>
      </c>
      <c r="L47" s="216" t="str">
        <f>""</f>
        <v/>
      </c>
      <c r="M47" s="216" t="str">
        <f>""</f>
        <v/>
      </c>
      <c r="N47" s="216" t="str">
        <f>""</f>
        <v/>
      </c>
      <c r="O47" s="216" t="str">
        <f>""</f>
        <v/>
      </c>
      <c r="P47" s="216" t="str">
        <f t="shared" ref="P47" si="12">IF(OR(A46=COUNTA(D:D)-2,A46=""),"",IF(P$6="IR300",SUM(K47:O47),""))</f>
        <v/>
      </c>
      <c r="Q47" s="216" t="str">
        <f>""</f>
        <v/>
      </c>
      <c r="R47" s="216" t="str">
        <f>""</f>
        <v/>
      </c>
      <c r="S47" s="216" t="str">
        <f>""</f>
        <v/>
      </c>
      <c r="T47" s="216" t="str">
        <f>""</f>
        <v/>
      </c>
      <c r="U47" s="216" t="str">
        <f>""</f>
        <v/>
      </c>
      <c r="V47" s="216" t="str">
        <f t="shared" ref="V47:V78" si="13">IF(OR(A46=COUNTA(D:D)-2,A46=""),"",IF(V$6="IR300",SUM(Q47:U47),""))</f>
        <v/>
      </c>
      <c r="W47" s="216" t="str">
        <f t="shared" si="9"/>
        <v/>
      </c>
      <c r="X47" s="216" t="str">
        <f t="shared" ref="X47:X78" si="14">IF(OR(X$6=10,A47=""),"",SUM(L47,P47,T47))</f>
        <v/>
      </c>
      <c r="Y47" s="216" t="str">
        <f t="shared" ref="Y47:Y78" si="15">IF(OR(A47="",Y$6="Notes"),"",SUM(M47,Q47,U47))</f>
        <v/>
      </c>
      <c r="AG47" s="120"/>
    </row>
    <row r="48" spans="1:33" ht="13.5" customHeight="1" x14ac:dyDescent="0.2">
      <c r="A48" s="151" t="str">
        <f t="shared" si="10"/>
        <v/>
      </c>
      <c r="B48" s="151">
        <f>IF(A48="",-1,IF(Data!$AP$3=2,IFERROR(SUM('Start List'!W48,X48/100,-A48/1000000),IFERROR(SUM(W48,-A48/1000000),0)),IFERROR(SUM(W48,X48/100,Y48/10000,-A48/1000000),IFERROR(SUM(W48,-A48/1000000),0))))</f>
        <v>-1</v>
      </c>
      <c r="C48" s="151">
        <f>IF(A48="",-1,IF(Data!$AP$3=2,IFERROR(SUM('Start List'!W48,X48/100,-A48/1000000),IFERROR(SUM(W48,-A48/1000000),0)),IFERROR(SUM(W48,X48/100,Y48/10000,-A48/1000000),IFERROR(SUM(W48,-A48/1000000),0))))+IF(OR(G48="M",G48="H"),1000,0)</f>
        <v>-1</v>
      </c>
      <c r="D48" s="213"/>
      <c r="E48" s="214"/>
      <c r="F48" s="215"/>
      <c r="G48" s="215"/>
      <c r="H48" s="155" t="e">
        <f>VLOOKUP(E48,Data!$A$1:$B$400,2,FALSE)</f>
        <v>#N/A</v>
      </c>
      <c r="I48" s="82">
        <f t="shared" si="11"/>
        <v>100</v>
      </c>
      <c r="J48" s="87" t="str">
        <f t="shared" si="8"/>
        <v/>
      </c>
      <c r="K48" s="216" t="str">
        <f>""</f>
        <v/>
      </c>
      <c r="L48" s="216" t="str">
        <f>""</f>
        <v/>
      </c>
      <c r="M48" s="216" t="str">
        <f>""</f>
        <v/>
      </c>
      <c r="N48" s="216" t="str">
        <f>""</f>
        <v/>
      </c>
      <c r="O48" s="216" t="str">
        <f>""</f>
        <v/>
      </c>
      <c r="P48" s="216" t="str">
        <f t="shared" ref="P48:P79" si="16">IF(OR(A47=COUNTA(D:D)-2,A47=""),"",IF(P$6="IR300",SUM(K48:O48),""))</f>
        <v/>
      </c>
      <c r="Q48" s="216" t="str">
        <f>""</f>
        <v/>
      </c>
      <c r="R48" s="216" t="str">
        <f>""</f>
        <v/>
      </c>
      <c r="S48" s="216" t="str">
        <f>""</f>
        <v/>
      </c>
      <c r="T48" s="216" t="str">
        <f>""</f>
        <v/>
      </c>
      <c r="U48" s="216" t="str">
        <f>""</f>
        <v/>
      </c>
      <c r="V48" s="216" t="str">
        <f t="shared" si="13"/>
        <v/>
      </c>
      <c r="W48" s="216" t="str">
        <f t="shared" si="9"/>
        <v/>
      </c>
      <c r="X48" s="216" t="str">
        <f t="shared" si="14"/>
        <v/>
      </c>
      <c r="Y48" s="216" t="str">
        <f t="shared" si="15"/>
        <v/>
      </c>
      <c r="AG48" s="120"/>
    </row>
    <row r="49" spans="1:33" ht="13.5" customHeight="1" x14ac:dyDescent="0.2">
      <c r="A49" s="151" t="str">
        <f t="shared" si="10"/>
        <v/>
      </c>
      <c r="B49" s="151">
        <f>IF(A49="",-1,IF(Data!$AP$3=2,IFERROR(SUM('Start List'!W49,X49/100,-A49/1000000),IFERROR(SUM(W49,-A49/1000000),0)),IFERROR(SUM(W49,X49/100,Y49/10000,-A49/1000000),IFERROR(SUM(W49,-A49/1000000),0))))</f>
        <v>-1</v>
      </c>
      <c r="C49" s="151">
        <f>IF(A49="",-1,IF(Data!$AP$3=2,IFERROR(SUM('Start List'!W49,X49/100,-A49/1000000),IFERROR(SUM(W49,-A49/1000000),0)),IFERROR(SUM(W49,X49/100,Y49/10000,-A49/1000000),IFERROR(SUM(W49,-A49/1000000),0))))+IF(OR(G49="M",G49="H"),1000,0)</f>
        <v>-1</v>
      </c>
      <c r="D49" s="213"/>
      <c r="E49" s="214"/>
      <c r="F49" s="215"/>
      <c r="G49" s="215"/>
      <c r="H49" s="155" t="e">
        <f>VLOOKUP(E49,Data!$A$1:$B$400,2,FALSE)</f>
        <v>#N/A</v>
      </c>
      <c r="I49" s="82">
        <f t="shared" si="11"/>
        <v>100</v>
      </c>
      <c r="J49" s="87" t="str">
        <f t="shared" si="8"/>
        <v/>
      </c>
      <c r="K49" s="216" t="str">
        <f>""</f>
        <v/>
      </c>
      <c r="L49" s="216" t="str">
        <f>""</f>
        <v/>
      </c>
      <c r="M49" s="216" t="str">
        <f>""</f>
        <v/>
      </c>
      <c r="N49" s="216" t="str">
        <f>""</f>
        <v/>
      </c>
      <c r="O49" s="216" t="str">
        <f>""</f>
        <v/>
      </c>
      <c r="P49" s="216" t="str">
        <f t="shared" si="16"/>
        <v/>
      </c>
      <c r="Q49" s="216" t="str">
        <f>""</f>
        <v/>
      </c>
      <c r="R49" s="216" t="str">
        <f>""</f>
        <v/>
      </c>
      <c r="S49" s="216" t="str">
        <f>""</f>
        <v/>
      </c>
      <c r="T49" s="216" t="str">
        <f>""</f>
        <v/>
      </c>
      <c r="U49" s="216" t="str">
        <f>""</f>
        <v/>
      </c>
      <c r="V49" s="216" t="str">
        <f t="shared" si="13"/>
        <v/>
      </c>
      <c r="W49" s="216" t="str">
        <f t="shared" si="9"/>
        <v/>
      </c>
      <c r="X49" s="216" t="str">
        <f t="shared" si="14"/>
        <v/>
      </c>
      <c r="Y49" s="216" t="str">
        <f t="shared" si="15"/>
        <v/>
      </c>
      <c r="AG49" s="120"/>
    </row>
    <row r="50" spans="1:33" ht="13.5" customHeight="1" x14ac:dyDescent="0.2">
      <c r="A50" s="151" t="str">
        <f t="shared" si="10"/>
        <v/>
      </c>
      <c r="B50" s="151">
        <f>IF(A50="",-1,IF(Data!$AP$3=2,IFERROR(SUM('Start List'!W50,X50/100,-A50/1000000),IFERROR(SUM(W50,-A50/1000000),0)),IFERROR(SUM(W50,X50/100,Y50/10000,-A50/1000000),IFERROR(SUM(W50,-A50/1000000),0))))</f>
        <v>-1</v>
      </c>
      <c r="C50" s="151">
        <f>IF(A50="",-1,IF(Data!$AP$3=2,IFERROR(SUM('Start List'!W50,X50/100,-A50/1000000),IFERROR(SUM(W50,-A50/1000000),0)),IFERROR(SUM(W50,X50/100,Y50/10000,-A50/1000000),IFERROR(SUM(W50,-A50/1000000),0))))+IF(OR(G50="M",G50="H"),1000,0)</f>
        <v>-1</v>
      </c>
      <c r="D50" s="213"/>
      <c r="E50" s="214"/>
      <c r="F50" s="215"/>
      <c r="G50" s="215"/>
      <c r="H50" s="155" t="e">
        <f>VLOOKUP(E50,Data!$A$1:$B$400,2,FALSE)</f>
        <v>#N/A</v>
      </c>
      <c r="I50" s="82">
        <f t="shared" si="11"/>
        <v>100</v>
      </c>
      <c r="J50" s="87" t="str">
        <f t="shared" si="8"/>
        <v/>
      </c>
      <c r="K50" s="216" t="str">
        <f>""</f>
        <v/>
      </c>
      <c r="L50" s="216" t="str">
        <f>""</f>
        <v/>
      </c>
      <c r="M50" s="216" t="str">
        <f>""</f>
        <v/>
      </c>
      <c r="N50" s="216" t="str">
        <f>""</f>
        <v/>
      </c>
      <c r="O50" s="216" t="str">
        <f>""</f>
        <v/>
      </c>
      <c r="P50" s="216" t="str">
        <f t="shared" si="16"/>
        <v/>
      </c>
      <c r="Q50" s="216" t="str">
        <f>""</f>
        <v/>
      </c>
      <c r="R50" s="216" t="str">
        <f>""</f>
        <v/>
      </c>
      <c r="S50" s="216" t="str">
        <f>""</f>
        <v/>
      </c>
      <c r="T50" s="216" t="str">
        <f>""</f>
        <v/>
      </c>
      <c r="U50" s="216" t="str">
        <f>""</f>
        <v/>
      </c>
      <c r="V50" s="216" t="str">
        <f t="shared" si="13"/>
        <v/>
      </c>
      <c r="W50" s="216" t="str">
        <f t="shared" si="9"/>
        <v/>
      </c>
      <c r="X50" s="216" t="str">
        <f t="shared" si="14"/>
        <v/>
      </c>
      <c r="Y50" s="216" t="str">
        <f t="shared" si="15"/>
        <v/>
      </c>
      <c r="AG50" s="120"/>
    </row>
    <row r="51" spans="1:33" ht="13.5" customHeight="1" x14ac:dyDescent="0.2">
      <c r="A51" s="151" t="str">
        <f t="shared" si="10"/>
        <v/>
      </c>
      <c r="B51" s="151">
        <f>IF(A51="",-1,IF(Data!$AP$3=2,IFERROR(SUM('Start List'!W51,X51/100,-A51/1000000),IFERROR(SUM(W51,-A51/1000000),0)),IFERROR(SUM(W51,X51/100,Y51/10000,-A51/1000000),IFERROR(SUM(W51,-A51/1000000),0))))</f>
        <v>-1</v>
      </c>
      <c r="C51" s="151">
        <f>IF(A51="",-1,IF(Data!$AP$3=2,IFERROR(SUM('Start List'!W51,X51/100,-A51/1000000),IFERROR(SUM(W51,-A51/1000000),0)),IFERROR(SUM(W51,X51/100,Y51/10000,-A51/1000000),IFERROR(SUM(W51,-A51/1000000),0))))+IF(OR(G51="M",G51="H"),1000,0)</f>
        <v>-1</v>
      </c>
      <c r="D51" s="213"/>
      <c r="E51" s="214"/>
      <c r="F51" s="215"/>
      <c r="G51" s="215"/>
      <c r="H51" s="155" t="e">
        <f>VLOOKUP(E51,Data!$A$1:$B$400,2,FALSE)</f>
        <v>#N/A</v>
      </c>
      <c r="I51" s="82">
        <f t="shared" si="11"/>
        <v>100</v>
      </c>
      <c r="J51" s="87" t="str">
        <f t="shared" si="8"/>
        <v/>
      </c>
      <c r="K51" s="216" t="str">
        <f>""</f>
        <v/>
      </c>
      <c r="L51" s="216" t="str">
        <f>""</f>
        <v/>
      </c>
      <c r="M51" s="216" t="str">
        <f>""</f>
        <v/>
      </c>
      <c r="N51" s="216" t="str">
        <f>""</f>
        <v/>
      </c>
      <c r="O51" s="216" t="str">
        <f>""</f>
        <v/>
      </c>
      <c r="P51" s="216" t="str">
        <f t="shared" si="16"/>
        <v/>
      </c>
      <c r="Q51" s="216" t="str">
        <f>""</f>
        <v/>
      </c>
      <c r="R51" s="216" t="str">
        <f>""</f>
        <v/>
      </c>
      <c r="S51" s="216" t="str">
        <f>""</f>
        <v/>
      </c>
      <c r="T51" s="216" t="str">
        <f>""</f>
        <v/>
      </c>
      <c r="U51" s="216" t="str">
        <f>""</f>
        <v/>
      </c>
      <c r="V51" s="216" t="str">
        <f t="shared" si="13"/>
        <v/>
      </c>
      <c r="W51" s="216" t="str">
        <f t="shared" si="9"/>
        <v/>
      </c>
      <c r="X51" s="216" t="str">
        <f t="shared" si="14"/>
        <v/>
      </c>
      <c r="Y51" s="216" t="str">
        <f t="shared" si="15"/>
        <v/>
      </c>
      <c r="AG51" s="120"/>
    </row>
    <row r="52" spans="1:33" ht="13.5" customHeight="1" x14ac:dyDescent="0.2">
      <c r="A52" s="151" t="str">
        <f t="shared" si="10"/>
        <v/>
      </c>
      <c r="B52" s="151">
        <f>IF(A52="",-1,IF(Data!$AP$3=2,IFERROR(SUM('Start List'!W52,X52/100,-A52/1000000),IFERROR(SUM(W52,-A52/1000000),0)),IFERROR(SUM(W52,X52/100,Y52/10000,-A52/1000000),IFERROR(SUM(W52,-A52/1000000),0))))</f>
        <v>-1</v>
      </c>
      <c r="C52" s="151">
        <f>IF(A52="",-1,IF(Data!$AP$3=2,IFERROR(SUM('Start List'!W52,X52/100,-A52/1000000),IFERROR(SUM(W52,-A52/1000000),0)),IFERROR(SUM(W52,X52/100,Y52/10000,-A52/1000000),IFERROR(SUM(W52,-A52/1000000),0))))+IF(OR(G52="M",G52="H"),1000,0)</f>
        <v>-1</v>
      </c>
      <c r="D52" s="213"/>
      <c r="E52" s="214"/>
      <c r="F52" s="215"/>
      <c r="G52" s="215"/>
      <c r="H52" s="155" t="e">
        <f>VLOOKUP(E52,Data!$A$1:$B$400,2,FALSE)</f>
        <v>#N/A</v>
      </c>
      <c r="I52" s="82">
        <f t="shared" si="11"/>
        <v>100</v>
      </c>
      <c r="J52" s="87" t="str">
        <f t="shared" si="8"/>
        <v/>
      </c>
      <c r="K52" s="216" t="str">
        <f>""</f>
        <v/>
      </c>
      <c r="L52" s="216" t="str">
        <f>""</f>
        <v/>
      </c>
      <c r="M52" s="216" t="str">
        <f>""</f>
        <v/>
      </c>
      <c r="N52" s="216" t="str">
        <f>""</f>
        <v/>
      </c>
      <c r="O52" s="216" t="str">
        <f>""</f>
        <v/>
      </c>
      <c r="P52" s="216" t="str">
        <f t="shared" si="16"/>
        <v/>
      </c>
      <c r="Q52" s="216" t="str">
        <f>""</f>
        <v/>
      </c>
      <c r="R52" s="216" t="str">
        <f>""</f>
        <v/>
      </c>
      <c r="S52" s="216" t="str">
        <f>""</f>
        <v/>
      </c>
      <c r="T52" s="216" t="str">
        <f>""</f>
        <v/>
      </c>
      <c r="U52" s="216" t="str">
        <f>""</f>
        <v/>
      </c>
      <c r="V52" s="216" t="str">
        <f t="shared" si="13"/>
        <v/>
      </c>
      <c r="W52" s="216" t="str">
        <f t="shared" si="9"/>
        <v/>
      </c>
      <c r="X52" s="216" t="str">
        <f t="shared" si="14"/>
        <v/>
      </c>
      <c r="Y52" s="216" t="str">
        <f t="shared" si="15"/>
        <v/>
      </c>
      <c r="AG52" s="120"/>
    </row>
    <row r="53" spans="1:33" ht="13.5" customHeight="1" x14ac:dyDescent="0.2">
      <c r="A53" s="151" t="str">
        <f t="shared" si="10"/>
        <v/>
      </c>
      <c r="B53" s="151">
        <f>IF(A53="",-1,IF(Data!$AP$3=2,IFERROR(SUM('Start List'!W53,X53/100,-A53/1000000),IFERROR(SUM(W53,-A53/1000000),0)),IFERROR(SUM(W53,X53/100,Y53/10000,-A53/1000000),IFERROR(SUM(W53,-A53/1000000),0))))</f>
        <v>-1</v>
      </c>
      <c r="C53" s="151">
        <f>IF(A53="",-1,IF(Data!$AP$3=2,IFERROR(SUM('Start List'!W53,X53/100,-A53/1000000),IFERROR(SUM(W53,-A53/1000000),0)),IFERROR(SUM(W53,X53/100,Y53/10000,-A53/1000000),IFERROR(SUM(W53,-A53/1000000),0))))+IF(OR(G53="M",G53="H"),1000,0)</f>
        <v>-1</v>
      </c>
      <c r="D53" s="213"/>
      <c r="E53" s="214"/>
      <c r="F53" s="215"/>
      <c r="G53" s="215"/>
      <c r="H53" s="155" t="e">
        <f>VLOOKUP(E53,Data!$A$1:$B$400,2,FALSE)</f>
        <v>#N/A</v>
      </c>
      <c r="I53" s="82">
        <f t="shared" si="11"/>
        <v>100</v>
      </c>
      <c r="J53" s="87" t="str">
        <f t="shared" si="8"/>
        <v/>
      </c>
      <c r="K53" s="216" t="str">
        <f>""</f>
        <v/>
      </c>
      <c r="L53" s="216" t="str">
        <f>""</f>
        <v/>
      </c>
      <c r="M53" s="216" t="str">
        <f>""</f>
        <v/>
      </c>
      <c r="N53" s="216" t="str">
        <f>""</f>
        <v/>
      </c>
      <c r="O53" s="216" t="str">
        <f>""</f>
        <v/>
      </c>
      <c r="P53" s="216" t="str">
        <f t="shared" si="16"/>
        <v/>
      </c>
      <c r="Q53" s="216" t="str">
        <f>""</f>
        <v/>
      </c>
      <c r="R53" s="216" t="str">
        <f>""</f>
        <v/>
      </c>
      <c r="S53" s="216" t="str">
        <f>""</f>
        <v/>
      </c>
      <c r="T53" s="216" t="str">
        <f>""</f>
        <v/>
      </c>
      <c r="U53" s="216" t="str">
        <f>""</f>
        <v/>
      </c>
      <c r="V53" s="216" t="str">
        <f t="shared" si="13"/>
        <v/>
      </c>
      <c r="W53" s="216" t="str">
        <f t="shared" si="9"/>
        <v/>
      </c>
      <c r="X53" s="216" t="str">
        <f t="shared" si="14"/>
        <v/>
      </c>
      <c r="Y53" s="216" t="str">
        <f t="shared" si="15"/>
        <v/>
      </c>
      <c r="AG53" s="120"/>
    </row>
    <row r="54" spans="1:33" ht="13.5" customHeight="1" x14ac:dyDescent="0.2">
      <c r="A54" s="151" t="str">
        <f t="shared" si="10"/>
        <v/>
      </c>
      <c r="B54" s="151">
        <f>IF(A54="",-1,IF(Data!$AP$3=2,IFERROR(SUM('Start List'!W54,X54/100,-A54/1000000),IFERROR(SUM(W54,-A54/1000000),0)),IFERROR(SUM(W54,X54/100,Y54/10000,-A54/1000000),IFERROR(SUM(W54,-A54/1000000),0))))</f>
        <v>-1</v>
      </c>
      <c r="C54" s="151">
        <f>IF(A54="",-1,IF(Data!$AP$3=2,IFERROR(SUM('Start List'!W54,X54/100,-A54/1000000),IFERROR(SUM(W54,-A54/1000000),0)),IFERROR(SUM(W54,X54/100,Y54/10000,-A54/1000000),IFERROR(SUM(W54,-A54/1000000),0))))+IF(OR(G54="M",G54="H"),1000,0)</f>
        <v>-1</v>
      </c>
      <c r="D54" s="213"/>
      <c r="E54" s="214"/>
      <c r="F54" s="215"/>
      <c r="G54" s="215"/>
      <c r="H54" s="155" t="e">
        <f>VLOOKUP(E54,Data!$A$1:$B$400,2,FALSE)</f>
        <v>#N/A</v>
      </c>
      <c r="I54" s="82">
        <f t="shared" si="11"/>
        <v>100</v>
      </c>
      <c r="J54" s="87" t="str">
        <f t="shared" si="8"/>
        <v/>
      </c>
      <c r="K54" s="216" t="str">
        <f>""</f>
        <v/>
      </c>
      <c r="L54" s="216" t="str">
        <f>""</f>
        <v/>
      </c>
      <c r="M54" s="216" t="str">
        <f>""</f>
        <v/>
      </c>
      <c r="N54" s="216" t="str">
        <f>""</f>
        <v/>
      </c>
      <c r="O54" s="216" t="str">
        <f>""</f>
        <v/>
      </c>
      <c r="P54" s="216" t="str">
        <f t="shared" si="16"/>
        <v/>
      </c>
      <c r="Q54" s="216" t="str">
        <f>""</f>
        <v/>
      </c>
      <c r="R54" s="216" t="str">
        <f>""</f>
        <v/>
      </c>
      <c r="S54" s="216" t="str">
        <f>""</f>
        <v/>
      </c>
      <c r="T54" s="216" t="str">
        <f>""</f>
        <v/>
      </c>
      <c r="U54" s="216" t="str">
        <f>""</f>
        <v/>
      </c>
      <c r="V54" s="216" t="str">
        <f t="shared" si="13"/>
        <v/>
      </c>
      <c r="W54" s="216" t="str">
        <f t="shared" si="9"/>
        <v/>
      </c>
      <c r="X54" s="216" t="str">
        <f t="shared" si="14"/>
        <v/>
      </c>
      <c r="Y54" s="216" t="str">
        <f t="shared" si="15"/>
        <v/>
      </c>
      <c r="AG54" s="120"/>
    </row>
    <row r="55" spans="1:33" ht="13.5" customHeight="1" x14ac:dyDescent="0.2">
      <c r="A55" s="151" t="str">
        <f t="shared" si="10"/>
        <v/>
      </c>
      <c r="B55" s="151">
        <f>IF(A55="",-1,IF(Data!$AP$3=2,IFERROR(SUM('Start List'!W55,X55/100,-A55/1000000),IFERROR(SUM(W55,-A55/1000000),0)),IFERROR(SUM(W55,X55/100,Y55/10000,-A55/1000000),IFERROR(SUM(W55,-A55/1000000),0))))</f>
        <v>-1</v>
      </c>
      <c r="C55" s="151">
        <f>IF(A55="",-1,IF(Data!$AP$3=2,IFERROR(SUM('Start List'!W55,X55/100,-A55/1000000),IFERROR(SUM(W55,-A55/1000000),0)),IFERROR(SUM(W55,X55/100,Y55/10000,-A55/1000000),IFERROR(SUM(W55,-A55/1000000),0))))+IF(OR(G55="M",G55="H"),1000,0)</f>
        <v>-1</v>
      </c>
      <c r="D55" s="213"/>
      <c r="E55" s="214"/>
      <c r="F55" s="215"/>
      <c r="G55" s="215"/>
      <c r="H55" s="155" t="e">
        <f>VLOOKUP(E55,Data!$A$1:$B$400,2,FALSE)</f>
        <v>#N/A</v>
      </c>
      <c r="I55" s="82">
        <f t="shared" si="11"/>
        <v>100</v>
      </c>
      <c r="J55" s="87" t="str">
        <f t="shared" si="8"/>
        <v/>
      </c>
      <c r="K55" s="216" t="str">
        <f>""</f>
        <v/>
      </c>
      <c r="L55" s="216" t="str">
        <f>""</f>
        <v/>
      </c>
      <c r="M55" s="216" t="str">
        <f>""</f>
        <v/>
      </c>
      <c r="N55" s="216" t="str">
        <f>""</f>
        <v/>
      </c>
      <c r="O55" s="216" t="str">
        <f>""</f>
        <v/>
      </c>
      <c r="P55" s="216" t="str">
        <f t="shared" si="16"/>
        <v/>
      </c>
      <c r="Q55" s="216" t="str">
        <f>""</f>
        <v/>
      </c>
      <c r="R55" s="216" t="str">
        <f>""</f>
        <v/>
      </c>
      <c r="S55" s="216" t="str">
        <f>""</f>
        <v/>
      </c>
      <c r="T55" s="216" t="str">
        <f>""</f>
        <v/>
      </c>
      <c r="U55" s="216" t="str">
        <f>""</f>
        <v/>
      </c>
      <c r="V55" s="216" t="str">
        <f t="shared" si="13"/>
        <v/>
      </c>
      <c r="W55" s="216" t="str">
        <f t="shared" si="9"/>
        <v/>
      </c>
      <c r="X55" s="216" t="str">
        <f t="shared" si="14"/>
        <v/>
      </c>
      <c r="Y55" s="216" t="str">
        <f t="shared" si="15"/>
        <v/>
      </c>
      <c r="AG55" s="120"/>
    </row>
    <row r="56" spans="1:33" ht="13.5" customHeight="1" x14ac:dyDescent="0.2">
      <c r="A56" s="151" t="str">
        <f t="shared" si="10"/>
        <v/>
      </c>
      <c r="B56" s="151">
        <f>IF(A56="",-1,IF(Data!$AP$3=2,IFERROR(SUM('Start List'!W56,X56/100,-A56/1000000),IFERROR(SUM(W56,-A56/1000000),0)),IFERROR(SUM(W56,X56/100,Y56/10000,-A56/1000000),IFERROR(SUM(W56,-A56/1000000),0))))</f>
        <v>-1</v>
      </c>
      <c r="C56" s="151">
        <f>IF(A56="",-1,IF(Data!$AP$3=2,IFERROR(SUM('Start List'!W56,X56/100,-A56/1000000),IFERROR(SUM(W56,-A56/1000000),0)),IFERROR(SUM(W56,X56/100,Y56/10000,-A56/1000000),IFERROR(SUM(W56,-A56/1000000),0))))+IF(OR(G56="M",G56="H"),1000,0)</f>
        <v>-1</v>
      </c>
      <c r="D56" s="213"/>
      <c r="E56" s="214"/>
      <c r="F56" s="215"/>
      <c r="G56" s="215"/>
      <c r="H56" s="155" t="e">
        <f>VLOOKUP(E56,Data!$A$1:$B$400,2,FALSE)</f>
        <v>#N/A</v>
      </c>
      <c r="I56" s="82">
        <f t="shared" si="11"/>
        <v>100</v>
      </c>
      <c r="J56" s="87" t="str">
        <f t="shared" si="8"/>
        <v/>
      </c>
      <c r="K56" s="216" t="str">
        <f>""</f>
        <v/>
      </c>
      <c r="L56" s="216" t="str">
        <f>""</f>
        <v/>
      </c>
      <c r="M56" s="216" t="str">
        <f>""</f>
        <v/>
      </c>
      <c r="N56" s="216" t="str">
        <f>""</f>
        <v/>
      </c>
      <c r="O56" s="216" t="str">
        <f>""</f>
        <v/>
      </c>
      <c r="P56" s="216" t="str">
        <f t="shared" si="16"/>
        <v/>
      </c>
      <c r="Q56" s="216" t="str">
        <f>""</f>
        <v/>
      </c>
      <c r="R56" s="216" t="str">
        <f>""</f>
        <v/>
      </c>
      <c r="S56" s="216" t="str">
        <f>""</f>
        <v/>
      </c>
      <c r="T56" s="216" t="str">
        <f>""</f>
        <v/>
      </c>
      <c r="U56" s="216" t="str">
        <f>""</f>
        <v/>
      </c>
      <c r="V56" s="216" t="str">
        <f t="shared" si="13"/>
        <v/>
      </c>
      <c r="W56" s="216" t="str">
        <f t="shared" si="9"/>
        <v/>
      </c>
      <c r="X56" s="216" t="str">
        <f t="shared" si="14"/>
        <v/>
      </c>
      <c r="Y56" s="216" t="str">
        <f t="shared" si="15"/>
        <v/>
      </c>
      <c r="AG56" s="120"/>
    </row>
    <row r="57" spans="1:33" ht="13.5" customHeight="1" x14ac:dyDescent="0.2">
      <c r="A57" s="151" t="str">
        <f t="shared" si="10"/>
        <v/>
      </c>
      <c r="B57" s="151">
        <f>IF(A57="",-1,IF(Data!$AP$3=2,IFERROR(SUM('Start List'!W57,X57/100,-A57/1000000),IFERROR(SUM(W57,-A57/1000000),0)),IFERROR(SUM(W57,X57/100,Y57/10000,-A57/1000000),IFERROR(SUM(W57,-A57/1000000),0))))</f>
        <v>-1</v>
      </c>
      <c r="C57" s="151">
        <f>IF(A57="",-1,IF(Data!$AP$3=2,IFERROR(SUM('Start List'!W57,X57/100,-A57/1000000),IFERROR(SUM(W57,-A57/1000000),0)),IFERROR(SUM(W57,X57/100,Y57/10000,-A57/1000000),IFERROR(SUM(W57,-A57/1000000),0))))+IF(OR(G57="M",G57="H"),1000,0)</f>
        <v>-1</v>
      </c>
      <c r="D57" s="213"/>
      <c r="E57" s="214"/>
      <c r="F57" s="215"/>
      <c r="G57" s="215"/>
      <c r="H57" s="155" t="e">
        <f>VLOOKUP(E57,Data!$A$1:$B$400,2,FALSE)</f>
        <v>#N/A</v>
      </c>
      <c r="I57" s="82">
        <f t="shared" si="11"/>
        <v>100</v>
      </c>
      <c r="J57" s="87" t="str">
        <f t="shared" si="8"/>
        <v/>
      </c>
      <c r="K57" s="216" t="str">
        <f>""</f>
        <v/>
      </c>
      <c r="L57" s="216" t="str">
        <f>""</f>
        <v/>
      </c>
      <c r="M57" s="216" t="str">
        <f>""</f>
        <v/>
      </c>
      <c r="N57" s="216" t="str">
        <f>""</f>
        <v/>
      </c>
      <c r="O57" s="216" t="str">
        <f>""</f>
        <v/>
      </c>
      <c r="P57" s="216" t="str">
        <f t="shared" si="16"/>
        <v/>
      </c>
      <c r="Q57" s="216" t="str">
        <f>""</f>
        <v/>
      </c>
      <c r="R57" s="216" t="str">
        <f>""</f>
        <v/>
      </c>
      <c r="S57" s="216" t="str">
        <f>""</f>
        <v/>
      </c>
      <c r="T57" s="216" t="str">
        <f>""</f>
        <v/>
      </c>
      <c r="U57" s="216" t="str">
        <f>""</f>
        <v/>
      </c>
      <c r="V57" s="216" t="str">
        <f t="shared" si="13"/>
        <v/>
      </c>
      <c r="W57" s="216" t="str">
        <f t="shared" si="9"/>
        <v/>
      </c>
      <c r="X57" s="216" t="str">
        <f t="shared" si="14"/>
        <v/>
      </c>
      <c r="Y57" s="216" t="str">
        <f t="shared" si="15"/>
        <v/>
      </c>
      <c r="AG57" s="120"/>
    </row>
    <row r="58" spans="1:33" ht="13.5" customHeight="1" x14ac:dyDescent="0.2">
      <c r="A58" s="151" t="str">
        <f t="shared" si="10"/>
        <v/>
      </c>
      <c r="B58" s="151">
        <f>IF(A58="",-1,IF(Data!$AP$3=2,IFERROR(SUM('Start List'!W58,X58/100,-A58/1000000),IFERROR(SUM(W58,-A58/1000000),0)),IFERROR(SUM(W58,X58/100,Y58/10000,-A58/1000000),IFERROR(SUM(W58,-A58/1000000),0))))</f>
        <v>-1</v>
      </c>
      <c r="C58" s="151">
        <f>IF(A58="",-1,IF(Data!$AP$3=2,IFERROR(SUM('Start List'!W58,X58/100,-A58/1000000),IFERROR(SUM(W58,-A58/1000000),0)),IFERROR(SUM(W58,X58/100,Y58/10000,-A58/1000000),IFERROR(SUM(W58,-A58/1000000),0))))+IF(OR(G58="M",G58="H"),1000,0)</f>
        <v>-1</v>
      </c>
      <c r="D58" s="213"/>
      <c r="E58" s="214"/>
      <c r="F58" s="215"/>
      <c r="G58" s="215"/>
      <c r="H58" s="155" t="e">
        <f>VLOOKUP(E58,Data!$A$1:$B$400,2,FALSE)</f>
        <v>#N/A</v>
      </c>
      <c r="I58" s="82">
        <f t="shared" si="11"/>
        <v>100</v>
      </c>
      <c r="J58" s="87" t="str">
        <f t="shared" si="8"/>
        <v/>
      </c>
      <c r="K58" s="216" t="str">
        <f>""</f>
        <v/>
      </c>
      <c r="L58" s="216" t="str">
        <f>""</f>
        <v/>
      </c>
      <c r="M58" s="216" t="str">
        <f>""</f>
        <v/>
      </c>
      <c r="N58" s="216" t="str">
        <f>""</f>
        <v/>
      </c>
      <c r="O58" s="216" t="str">
        <f>""</f>
        <v/>
      </c>
      <c r="P58" s="216" t="str">
        <f t="shared" si="16"/>
        <v/>
      </c>
      <c r="Q58" s="216" t="str">
        <f>""</f>
        <v/>
      </c>
      <c r="R58" s="216" t="str">
        <f>""</f>
        <v/>
      </c>
      <c r="S58" s="216" t="str">
        <f>""</f>
        <v/>
      </c>
      <c r="T58" s="216" t="str">
        <f>""</f>
        <v/>
      </c>
      <c r="U58" s="216" t="str">
        <f>""</f>
        <v/>
      </c>
      <c r="V58" s="216" t="str">
        <f t="shared" si="13"/>
        <v/>
      </c>
      <c r="W58" s="216" t="str">
        <f t="shared" si="9"/>
        <v/>
      </c>
      <c r="X58" s="216" t="str">
        <f t="shared" si="14"/>
        <v/>
      </c>
      <c r="Y58" s="216" t="str">
        <f t="shared" si="15"/>
        <v/>
      </c>
      <c r="AG58" s="120"/>
    </row>
    <row r="59" spans="1:33" ht="13.5" customHeight="1" x14ac:dyDescent="0.2">
      <c r="A59" s="151" t="str">
        <f t="shared" si="10"/>
        <v/>
      </c>
      <c r="B59" s="151">
        <f>IF(A59="",-1,IF(Data!$AP$3=2,IFERROR(SUM('Start List'!W59,X59/100,-A59/1000000),IFERROR(SUM(W59,-A59/1000000),0)),IFERROR(SUM(W59,X59/100,Y59/10000,-A59/1000000),IFERROR(SUM(W59,-A59/1000000),0))))</f>
        <v>-1</v>
      </c>
      <c r="C59" s="151">
        <f>IF(A59="",-1,IF(Data!$AP$3=2,IFERROR(SUM('Start List'!W59,X59/100,-A59/1000000),IFERROR(SUM(W59,-A59/1000000),0)),IFERROR(SUM(W59,X59/100,Y59/10000,-A59/1000000),IFERROR(SUM(W59,-A59/1000000),0))))+IF(OR(G59="M",G59="H"),1000,0)</f>
        <v>-1</v>
      </c>
      <c r="D59" s="213"/>
      <c r="E59" s="214"/>
      <c r="F59" s="215"/>
      <c r="G59" s="215"/>
      <c r="H59" s="155" t="e">
        <f>VLOOKUP(E59,Data!$A$1:$B$400,2,FALSE)</f>
        <v>#N/A</v>
      </c>
      <c r="I59" s="82">
        <f t="shared" si="11"/>
        <v>100</v>
      </c>
      <c r="J59" s="87" t="str">
        <f t="shared" si="8"/>
        <v/>
      </c>
      <c r="K59" s="216" t="str">
        <f>""</f>
        <v/>
      </c>
      <c r="L59" s="216" t="str">
        <f>""</f>
        <v/>
      </c>
      <c r="M59" s="216" t="str">
        <f>""</f>
        <v/>
      </c>
      <c r="N59" s="216" t="str">
        <f>""</f>
        <v/>
      </c>
      <c r="O59" s="216" t="str">
        <f>""</f>
        <v/>
      </c>
      <c r="P59" s="216" t="str">
        <f t="shared" si="16"/>
        <v/>
      </c>
      <c r="Q59" s="216" t="str">
        <f>""</f>
        <v/>
      </c>
      <c r="R59" s="216" t="str">
        <f>""</f>
        <v/>
      </c>
      <c r="S59" s="216" t="str">
        <f>""</f>
        <v/>
      </c>
      <c r="T59" s="216" t="str">
        <f>""</f>
        <v/>
      </c>
      <c r="U59" s="216" t="str">
        <f>""</f>
        <v/>
      </c>
      <c r="V59" s="216" t="str">
        <f t="shared" si="13"/>
        <v/>
      </c>
      <c r="W59" s="216" t="str">
        <f t="shared" si="9"/>
        <v/>
      </c>
      <c r="X59" s="216" t="str">
        <f t="shared" si="14"/>
        <v/>
      </c>
      <c r="Y59" s="216" t="str">
        <f t="shared" si="15"/>
        <v/>
      </c>
      <c r="AG59" s="120"/>
    </row>
    <row r="60" spans="1:33" ht="13.5" customHeight="1" x14ac:dyDescent="0.2">
      <c r="A60" s="151" t="str">
        <f t="shared" si="10"/>
        <v/>
      </c>
      <c r="B60" s="151">
        <f>IF(A60="",-1,IF(Data!$AP$3=2,IFERROR(SUM('Start List'!W60,X60/100,-A60/1000000),IFERROR(SUM(W60,-A60/1000000),0)),IFERROR(SUM(W60,X60/100,Y60/10000,-A60/1000000),IFERROR(SUM(W60,-A60/1000000),0))))</f>
        <v>-1</v>
      </c>
      <c r="C60" s="151">
        <f>IF(A60="",-1,IF(Data!$AP$3=2,IFERROR(SUM('Start List'!W60,X60/100,-A60/1000000),IFERROR(SUM(W60,-A60/1000000),0)),IFERROR(SUM(W60,X60/100,Y60/10000,-A60/1000000),IFERROR(SUM(W60,-A60/1000000),0))))+IF(OR(G60="M",G60="H"),1000,0)</f>
        <v>-1</v>
      </c>
      <c r="D60" s="213"/>
      <c r="E60" s="214"/>
      <c r="F60" s="215"/>
      <c r="G60" s="215"/>
      <c r="H60" s="155" t="e">
        <f>VLOOKUP(E60,Data!$A$1:$B$400,2,FALSE)</f>
        <v>#N/A</v>
      </c>
      <c r="I60" s="82">
        <f t="shared" si="11"/>
        <v>100</v>
      </c>
      <c r="J60" s="87" t="str">
        <f t="shared" si="8"/>
        <v/>
      </c>
      <c r="K60" s="216" t="str">
        <f>""</f>
        <v/>
      </c>
      <c r="L60" s="216" t="str">
        <f>""</f>
        <v/>
      </c>
      <c r="M60" s="216" t="str">
        <f>""</f>
        <v/>
      </c>
      <c r="N60" s="216" t="str">
        <f>""</f>
        <v/>
      </c>
      <c r="O60" s="216" t="str">
        <f>""</f>
        <v/>
      </c>
      <c r="P60" s="216" t="str">
        <f t="shared" si="16"/>
        <v/>
      </c>
      <c r="Q60" s="216" t="str">
        <f>""</f>
        <v/>
      </c>
      <c r="R60" s="216" t="str">
        <f>""</f>
        <v/>
      </c>
      <c r="S60" s="216" t="str">
        <f>""</f>
        <v/>
      </c>
      <c r="T60" s="216" t="str">
        <f>""</f>
        <v/>
      </c>
      <c r="U60" s="216" t="str">
        <f>""</f>
        <v/>
      </c>
      <c r="V60" s="216" t="str">
        <f t="shared" si="13"/>
        <v/>
      </c>
      <c r="W60" s="216" t="str">
        <f t="shared" si="9"/>
        <v/>
      </c>
      <c r="X60" s="216" t="str">
        <f t="shared" si="14"/>
        <v/>
      </c>
      <c r="Y60" s="216" t="str">
        <f t="shared" si="15"/>
        <v/>
      </c>
      <c r="AG60" s="152"/>
    </row>
    <row r="61" spans="1:33" ht="13.5" customHeight="1" x14ac:dyDescent="0.2">
      <c r="A61" s="151" t="str">
        <f t="shared" si="10"/>
        <v/>
      </c>
      <c r="B61" s="151">
        <f>IF(A61="",-1,IF(Data!$AP$3=2,IFERROR(SUM('Start List'!W61,X61/100,-A61/1000000),IFERROR(SUM(W61,-A61/1000000),0)),IFERROR(SUM(W61,X61/100,Y61/10000,-A61/1000000),IFERROR(SUM(W61,-A61/1000000),0))))</f>
        <v>-1</v>
      </c>
      <c r="C61" s="151">
        <f>IF(A61="",-1,IF(Data!$AP$3=2,IFERROR(SUM('Start List'!W61,X61/100,-A61/1000000),IFERROR(SUM(W61,-A61/1000000),0)),IFERROR(SUM(W61,X61/100,Y61/10000,-A61/1000000),IFERROR(SUM(W61,-A61/1000000),0))))+IF(OR(G61="M",G61="H"),1000,0)</f>
        <v>-1</v>
      </c>
      <c r="D61" s="213"/>
      <c r="E61" s="214"/>
      <c r="F61" s="215"/>
      <c r="G61" s="215"/>
      <c r="H61" s="155" t="e">
        <f>VLOOKUP(E61,Data!$A$1:$B$400,2,FALSE)</f>
        <v>#N/A</v>
      </c>
      <c r="I61" s="82">
        <f t="shared" si="11"/>
        <v>100</v>
      </c>
      <c r="J61" s="87" t="str">
        <f t="shared" si="8"/>
        <v/>
      </c>
      <c r="K61" s="216" t="str">
        <f>""</f>
        <v/>
      </c>
      <c r="L61" s="216" t="str">
        <f>""</f>
        <v/>
      </c>
      <c r="M61" s="216" t="str">
        <f>""</f>
        <v/>
      </c>
      <c r="N61" s="216" t="str">
        <f>""</f>
        <v/>
      </c>
      <c r="O61" s="216" t="str">
        <f>""</f>
        <v/>
      </c>
      <c r="P61" s="216" t="str">
        <f t="shared" si="16"/>
        <v/>
      </c>
      <c r="Q61" s="216" t="str">
        <f>""</f>
        <v/>
      </c>
      <c r="R61" s="216" t="str">
        <f>""</f>
        <v/>
      </c>
      <c r="S61" s="216" t="str">
        <f>""</f>
        <v/>
      </c>
      <c r="T61" s="216" t="str">
        <f>""</f>
        <v/>
      </c>
      <c r="U61" s="216" t="str">
        <f>""</f>
        <v/>
      </c>
      <c r="V61" s="216" t="str">
        <f t="shared" si="13"/>
        <v/>
      </c>
      <c r="W61" s="216" t="str">
        <f t="shared" si="9"/>
        <v/>
      </c>
      <c r="X61" s="216" t="str">
        <f t="shared" si="14"/>
        <v/>
      </c>
      <c r="Y61" s="216" t="str">
        <f t="shared" si="15"/>
        <v/>
      </c>
      <c r="AG61" s="152"/>
    </row>
    <row r="62" spans="1:33" ht="13.5" customHeight="1" x14ac:dyDescent="0.2">
      <c r="A62" s="151" t="str">
        <f t="shared" si="10"/>
        <v/>
      </c>
      <c r="B62" s="151">
        <f>IF(A62="",-1,IF(Data!$AP$3=2,IFERROR(SUM('Start List'!W62,X62/100,-A62/1000000),IFERROR(SUM(W62,-A62/1000000),0)),IFERROR(SUM(W62,X62/100,Y62/10000,-A62/1000000),IFERROR(SUM(W62,-A62/1000000),0))))</f>
        <v>-1</v>
      </c>
      <c r="C62" s="151">
        <f>IF(A62="",-1,IF(Data!$AP$3=2,IFERROR(SUM('Start List'!W62,X62/100,-A62/1000000),IFERROR(SUM(W62,-A62/1000000),0)),IFERROR(SUM(W62,X62/100,Y62/10000,-A62/1000000),IFERROR(SUM(W62,-A62/1000000),0))))+IF(OR(G62="M",G62="H"),1000,0)</f>
        <v>-1</v>
      </c>
      <c r="D62" s="213"/>
      <c r="E62" s="214"/>
      <c r="F62" s="215"/>
      <c r="G62" s="215"/>
      <c r="H62" s="155" t="e">
        <f>VLOOKUP(E62,Data!$A$1:$B$400,2,FALSE)</f>
        <v>#N/A</v>
      </c>
      <c r="I62" s="82">
        <f t="shared" si="11"/>
        <v>100</v>
      </c>
      <c r="J62" s="87" t="str">
        <f t="shared" si="8"/>
        <v/>
      </c>
      <c r="K62" s="216" t="str">
        <f>""</f>
        <v/>
      </c>
      <c r="L62" s="216" t="str">
        <f>""</f>
        <v/>
      </c>
      <c r="M62" s="216" t="str">
        <f>""</f>
        <v/>
      </c>
      <c r="N62" s="216" t="str">
        <f>""</f>
        <v/>
      </c>
      <c r="O62" s="216" t="str">
        <f>""</f>
        <v/>
      </c>
      <c r="P62" s="216" t="str">
        <f t="shared" si="16"/>
        <v/>
      </c>
      <c r="Q62" s="216" t="str">
        <f>""</f>
        <v/>
      </c>
      <c r="R62" s="216" t="str">
        <f>""</f>
        <v/>
      </c>
      <c r="S62" s="216" t="str">
        <f>""</f>
        <v/>
      </c>
      <c r="T62" s="216" t="str">
        <f>""</f>
        <v/>
      </c>
      <c r="U62" s="216" t="str">
        <f>""</f>
        <v/>
      </c>
      <c r="V62" s="216" t="str">
        <f t="shared" si="13"/>
        <v/>
      </c>
      <c r="W62" s="216" t="str">
        <f t="shared" si="9"/>
        <v/>
      </c>
      <c r="X62" s="216" t="str">
        <f t="shared" si="14"/>
        <v/>
      </c>
      <c r="Y62" s="216" t="str">
        <f t="shared" si="15"/>
        <v/>
      </c>
      <c r="AG62" s="152"/>
    </row>
    <row r="63" spans="1:33" ht="13.5" customHeight="1" x14ac:dyDescent="0.2">
      <c r="A63" s="151" t="str">
        <f t="shared" si="10"/>
        <v/>
      </c>
      <c r="B63" s="151">
        <f>IF(A63="",-1,IF(Data!$AP$3=2,IFERROR(SUM('Start List'!W63,X63/100,-A63/1000000),IFERROR(SUM(W63,-A63/1000000),0)),IFERROR(SUM(W63,X63/100,Y63/10000,-A63/1000000),IFERROR(SUM(W63,-A63/1000000),0))))</f>
        <v>-1</v>
      </c>
      <c r="C63" s="151">
        <f>IF(A63="",-1,IF(Data!$AP$3=2,IFERROR(SUM('Start List'!W63,X63/100,-A63/1000000),IFERROR(SUM(W63,-A63/1000000),0)),IFERROR(SUM(W63,X63/100,Y63/10000,-A63/1000000),IFERROR(SUM(W63,-A63/1000000),0))))+IF(OR(G63="M",G63="H"),1000,0)</f>
        <v>-1</v>
      </c>
      <c r="D63" s="213"/>
      <c r="E63" s="214"/>
      <c r="F63" s="215"/>
      <c r="G63" s="215"/>
      <c r="H63" s="155" t="e">
        <f>VLOOKUP(E63,Data!$A$1:$B$400,2,FALSE)</f>
        <v>#N/A</v>
      </c>
      <c r="I63" s="82">
        <f t="shared" si="11"/>
        <v>100</v>
      </c>
      <c r="J63" s="87" t="str">
        <f t="shared" si="8"/>
        <v/>
      </c>
      <c r="K63" s="216" t="str">
        <f>""</f>
        <v/>
      </c>
      <c r="L63" s="216" t="str">
        <f>""</f>
        <v/>
      </c>
      <c r="M63" s="216" t="str">
        <f>""</f>
        <v/>
      </c>
      <c r="N63" s="216" t="str">
        <f>""</f>
        <v/>
      </c>
      <c r="O63" s="216" t="str">
        <f>""</f>
        <v/>
      </c>
      <c r="P63" s="216" t="str">
        <f t="shared" si="16"/>
        <v/>
      </c>
      <c r="Q63" s="216" t="str">
        <f>""</f>
        <v/>
      </c>
      <c r="R63" s="216" t="str">
        <f>""</f>
        <v/>
      </c>
      <c r="S63" s="216" t="str">
        <f>""</f>
        <v/>
      </c>
      <c r="T63" s="216" t="str">
        <f>""</f>
        <v/>
      </c>
      <c r="U63" s="216" t="str">
        <f>""</f>
        <v/>
      </c>
      <c r="V63" s="216" t="str">
        <f t="shared" si="13"/>
        <v/>
      </c>
      <c r="W63" s="216" t="str">
        <f t="shared" si="9"/>
        <v/>
      </c>
      <c r="X63" s="216" t="str">
        <f t="shared" si="14"/>
        <v/>
      </c>
      <c r="Y63" s="216" t="str">
        <f t="shared" si="15"/>
        <v/>
      </c>
    </row>
    <row r="64" spans="1:33" ht="13.5" customHeight="1" x14ac:dyDescent="0.2">
      <c r="A64" s="151" t="str">
        <f t="shared" si="10"/>
        <v/>
      </c>
      <c r="B64" s="151">
        <f>IF(A64="",-1,IF(Data!$AP$3=2,IFERROR(SUM('Start List'!W64,X64/100,-A64/1000000),IFERROR(SUM(W64,-A64/1000000),0)),IFERROR(SUM(W64,X64/100,Y64/10000,-A64/1000000),IFERROR(SUM(W64,-A64/1000000),0))))</f>
        <v>-1</v>
      </c>
      <c r="C64" s="151">
        <f>IF(A64="",-1,IF(Data!$AP$3=2,IFERROR(SUM('Start List'!W64,X64/100,-A64/1000000),IFERROR(SUM(W64,-A64/1000000),0)),IFERROR(SUM(W64,X64/100,Y64/10000,-A64/1000000),IFERROR(SUM(W64,-A64/1000000),0))))+IF(OR(G64="M",G64="H"),1000,0)</f>
        <v>-1</v>
      </c>
      <c r="D64" s="213"/>
      <c r="E64" s="214"/>
      <c r="F64" s="215"/>
      <c r="G64" s="215"/>
      <c r="H64" s="155" t="e">
        <f>VLOOKUP(E64,Data!$A$1:$B$400,2,FALSE)</f>
        <v>#N/A</v>
      </c>
      <c r="I64" s="82">
        <f t="shared" si="11"/>
        <v>100</v>
      </c>
      <c r="J64" s="87" t="str">
        <f t="shared" si="8"/>
        <v/>
      </c>
      <c r="K64" s="216" t="str">
        <f>""</f>
        <v/>
      </c>
      <c r="L64" s="216" t="str">
        <f>""</f>
        <v/>
      </c>
      <c r="M64" s="216" t="str">
        <f>""</f>
        <v/>
      </c>
      <c r="N64" s="216" t="str">
        <f>""</f>
        <v/>
      </c>
      <c r="O64" s="216" t="str">
        <f>""</f>
        <v/>
      </c>
      <c r="P64" s="216" t="str">
        <f t="shared" si="16"/>
        <v/>
      </c>
      <c r="Q64" s="216" t="str">
        <f>""</f>
        <v/>
      </c>
      <c r="R64" s="216" t="str">
        <f>""</f>
        <v/>
      </c>
      <c r="S64" s="216" t="str">
        <f>""</f>
        <v/>
      </c>
      <c r="T64" s="216" t="str">
        <f>""</f>
        <v/>
      </c>
      <c r="U64" s="216" t="str">
        <f>""</f>
        <v/>
      </c>
      <c r="V64" s="216" t="str">
        <f t="shared" si="13"/>
        <v/>
      </c>
      <c r="W64" s="216" t="str">
        <f t="shared" si="9"/>
        <v/>
      </c>
      <c r="X64" s="216" t="str">
        <f t="shared" si="14"/>
        <v/>
      </c>
      <c r="Y64" s="216" t="str">
        <f t="shared" si="15"/>
        <v/>
      </c>
    </row>
    <row r="65" spans="1:25" ht="13.5" customHeight="1" x14ac:dyDescent="0.2">
      <c r="A65" s="151" t="str">
        <f t="shared" si="10"/>
        <v/>
      </c>
      <c r="B65" s="151">
        <f>IF(A65="",-1,IF(Data!$AP$3=2,IFERROR(SUM('Start List'!W65,X65/100,-A65/1000000),IFERROR(SUM(W65,-A65/1000000),0)),IFERROR(SUM(W65,X65/100,Y65/10000,-A65/1000000),IFERROR(SUM(W65,-A65/1000000),0))))</f>
        <v>-1</v>
      </c>
      <c r="C65" s="151">
        <f>IF(A65="",-1,IF(Data!$AP$3=2,IFERROR(SUM('Start List'!W65,X65/100,-A65/1000000),IFERROR(SUM(W65,-A65/1000000),0)),IFERROR(SUM(W65,X65/100,Y65/10000,-A65/1000000),IFERROR(SUM(W65,-A65/1000000),0))))+IF(OR(G65="M",G65="H"),1000,0)</f>
        <v>-1</v>
      </c>
      <c r="D65" s="213"/>
      <c r="E65" s="214"/>
      <c r="F65" s="215"/>
      <c r="G65" s="215"/>
      <c r="H65" s="155" t="e">
        <f>VLOOKUP(E65,Data!$A$1:$B$400,2,FALSE)</f>
        <v>#N/A</v>
      </c>
      <c r="I65" s="82">
        <f t="shared" si="11"/>
        <v>100</v>
      </c>
      <c r="J65" s="87" t="str">
        <f t="shared" si="8"/>
        <v/>
      </c>
      <c r="K65" s="216" t="str">
        <f>""</f>
        <v/>
      </c>
      <c r="L65" s="216" t="str">
        <f>""</f>
        <v/>
      </c>
      <c r="M65" s="216" t="str">
        <f>""</f>
        <v/>
      </c>
      <c r="N65" s="216" t="str">
        <f>""</f>
        <v/>
      </c>
      <c r="O65" s="216" t="str">
        <f>""</f>
        <v/>
      </c>
      <c r="P65" s="216" t="str">
        <f t="shared" si="16"/>
        <v/>
      </c>
      <c r="Q65" s="216" t="str">
        <f>""</f>
        <v/>
      </c>
      <c r="R65" s="216" t="str">
        <f>""</f>
        <v/>
      </c>
      <c r="S65" s="216" t="str">
        <f>""</f>
        <v/>
      </c>
      <c r="T65" s="216" t="str">
        <f>""</f>
        <v/>
      </c>
      <c r="U65" s="216" t="str">
        <f>""</f>
        <v/>
      </c>
      <c r="V65" s="216" t="str">
        <f t="shared" si="13"/>
        <v/>
      </c>
      <c r="W65" s="216" t="str">
        <f t="shared" si="9"/>
        <v/>
      </c>
      <c r="X65" s="216" t="str">
        <f t="shared" si="14"/>
        <v/>
      </c>
      <c r="Y65" s="216" t="str">
        <f t="shared" si="15"/>
        <v/>
      </c>
    </row>
    <row r="66" spans="1:25" ht="13.5" customHeight="1" x14ac:dyDescent="0.2">
      <c r="A66" s="151" t="str">
        <f t="shared" si="10"/>
        <v/>
      </c>
      <c r="B66" s="151">
        <f>IF(A66="",-1,IF(Data!$AP$3=2,IFERROR(SUM('Start List'!W66,X66/100,-A66/1000000),IFERROR(SUM(W66,-A66/1000000),0)),IFERROR(SUM(W66,X66/100,Y66/10000,-A66/1000000),IFERROR(SUM(W66,-A66/1000000),0))))</f>
        <v>-1</v>
      </c>
      <c r="C66" s="151">
        <f>IF(A66="",-1,IF(Data!$AP$3=2,IFERROR(SUM('Start List'!W66,X66/100,-A66/1000000),IFERROR(SUM(W66,-A66/1000000),0)),IFERROR(SUM(W66,X66/100,Y66/10000,-A66/1000000),IFERROR(SUM(W66,-A66/1000000),0))))+IF(OR(G66="M",G66="H"),1000,0)</f>
        <v>-1</v>
      </c>
      <c r="D66" s="213"/>
      <c r="E66" s="214"/>
      <c r="F66" s="215"/>
      <c r="G66" s="215"/>
      <c r="H66" s="155" t="e">
        <f>VLOOKUP(E66,Data!$A$1:$B$400,2,FALSE)</f>
        <v>#N/A</v>
      </c>
      <c r="I66" s="82">
        <f t="shared" si="11"/>
        <v>100</v>
      </c>
      <c r="J66" s="87" t="str">
        <f t="shared" si="8"/>
        <v/>
      </c>
      <c r="K66" s="216" t="str">
        <f>""</f>
        <v/>
      </c>
      <c r="L66" s="216" t="str">
        <f>""</f>
        <v/>
      </c>
      <c r="M66" s="216" t="str">
        <f>""</f>
        <v/>
      </c>
      <c r="N66" s="216" t="str">
        <f>""</f>
        <v/>
      </c>
      <c r="O66" s="216" t="str">
        <f>""</f>
        <v/>
      </c>
      <c r="P66" s="216" t="str">
        <f t="shared" si="16"/>
        <v/>
      </c>
      <c r="Q66" s="216" t="str">
        <f>""</f>
        <v/>
      </c>
      <c r="R66" s="216" t="str">
        <f>""</f>
        <v/>
      </c>
      <c r="S66" s="216" t="str">
        <f>""</f>
        <v/>
      </c>
      <c r="T66" s="216" t="str">
        <f>""</f>
        <v/>
      </c>
      <c r="U66" s="216" t="str">
        <f>""</f>
        <v/>
      </c>
      <c r="V66" s="216" t="str">
        <f t="shared" si="13"/>
        <v/>
      </c>
      <c r="W66" s="216" t="str">
        <f t="shared" si="9"/>
        <v/>
      </c>
      <c r="X66" s="216" t="str">
        <f t="shared" si="14"/>
        <v/>
      </c>
      <c r="Y66" s="216" t="str">
        <f t="shared" si="15"/>
        <v/>
      </c>
    </row>
    <row r="67" spans="1:25" ht="13.5" customHeight="1" x14ac:dyDescent="0.2">
      <c r="A67" s="151" t="str">
        <f t="shared" si="10"/>
        <v/>
      </c>
      <c r="B67" s="151">
        <f>IF(A67="",-1,IF(Data!$AP$3=2,IFERROR(SUM('Start List'!W67,X67/100,-A67/1000000),IFERROR(SUM(W67,-A67/1000000),0)),IFERROR(SUM(W67,X67/100,Y67/10000,-A67/1000000),IFERROR(SUM(W67,-A67/1000000),0))))</f>
        <v>-1</v>
      </c>
      <c r="C67" s="151">
        <f>IF(A67="",-1,IF(Data!$AP$3=2,IFERROR(SUM('Start List'!W67,X67/100,-A67/1000000),IFERROR(SUM(W67,-A67/1000000),0)),IFERROR(SUM(W67,X67/100,Y67/10000,-A67/1000000),IFERROR(SUM(W67,-A67/1000000),0))))+IF(OR(G67="M",G67="H"),1000,0)</f>
        <v>-1</v>
      </c>
      <c r="D67" s="213"/>
      <c r="E67" s="214"/>
      <c r="F67" s="215"/>
      <c r="G67" s="215"/>
      <c r="H67" s="155" t="e">
        <f>VLOOKUP(E67,Data!$A$1:$B$400,2,FALSE)</f>
        <v>#N/A</v>
      </c>
      <c r="I67" s="82">
        <f t="shared" si="11"/>
        <v>100</v>
      </c>
      <c r="J67" s="87" t="str">
        <f t="shared" si="8"/>
        <v/>
      </c>
      <c r="K67" s="216" t="str">
        <f>""</f>
        <v/>
      </c>
      <c r="L67" s="216" t="str">
        <f>""</f>
        <v/>
      </c>
      <c r="M67" s="216" t="str">
        <f>""</f>
        <v/>
      </c>
      <c r="N67" s="216" t="str">
        <f>""</f>
        <v/>
      </c>
      <c r="O67" s="216" t="str">
        <f>""</f>
        <v/>
      </c>
      <c r="P67" s="216" t="str">
        <f t="shared" si="16"/>
        <v/>
      </c>
      <c r="Q67" s="216" t="str">
        <f>""</f>
        <v/>
      </c>
      <c r="R67" s="216" t="str">
        <f>""</f>
        <v/>
      </c>
      <c r="S67" s="216" t="str">
        <f>""</f>
        <v/>
      </c>
      <c r="T67" s="216" t="str">
        <f>""</f>
        <v/>
      </c>
      <c r="U67" s="216" t="str">
        <f>""</f>
        <v/>
      </c>
      <c r="V67" s="216" t="str">
        <f t="shared" si="13"/>
        <v/>
      </c>
      <c r="W67" s="216" t="str">
        <f t="shared" si="9"/>
        <v/>
      </c>
      <c r="X67" s="216" t="str">
        <f t="shared" si="14"/>
        <v/>
      </c>
      <c r="Y67" s="216" t="str">
        <f t="shared" si="15"/>
        <v/>
      </c>
    </row>
    <row r="68" spans="1:25" ht="13.5" customHeight="1" x14ac:dyDescent="0.2">
      <c r="A68" s="151" t="str">
        <f t="shared" si="10"/>
        <v/>
      </c>
      <c r="B68" s="151">
        <f>IF(A68="",-1,IF(Data!$AP$3=2,IFERROR(SUM('Start List'!W68,X68/100,-A68/1000000),IFERROR(SUM(W68,-A68/1000000),0)),IFERROR(SUM(W68,X68/100,Y68/10000,-A68/1000000),IFERROR(SUM(W68,-A68/1000000),0))))</f>
        <v>-1</v>
      </c>
      <c r="C68" s="151">
        <f>IF(A68="",-1,IF(Data!$AP$3=2,IFERROR(SUM('Start List'!W68,X68/100,-A68/1000000),IFERROR(SUM(W68,-A68/1000000),0)),IFERROR(SUM(W68,X68/100,Y68/10000,-A68/1000000),IFERROR(SUM(W68,-A68/1000000),0))))+IF(OR(G68="M",G68="H"),1000,0)</f>
        <v>-1</v>
      </c>
      <c r="D68" s="213"/>
      <c r="E68" s="214"/>
      <c r="F68" s="215"/>
      <c r="G68" s="215"/>
      <c r="H68" s="155" t="e">
        <f>VLOOKUP(E68,Data!$A$1:$B$400,2,FALSE)</f>
        <v>#N/A</v>
      </c>
      <c r="I68" s="82">
        <f t="shared" si="11"/>
        <v>100</v>
      </c>
      <c r="J68" s="87" t="str">
        <f t="shared" si="8"/>
        <v/>
      </c>
      <c r="K68" s="216" t="str">
        <f>""</f>
        <v/>
      </c>
      <c r="L68" s="216" t="str">
        <f>""</f>
        <v/>
      </c>
      <c r="M68" s="216" t="str">
        <f>""</f>
        <v/>
      </c>
      <c r="N68" s="216" t="str">
        <f>""</f>
        <v/>
      </c>
      <c r="O68" s="216" t="str">
        <f>""</f>
        <v/>
      </c>
      <c r="P68" s="216" t="str">
        <f t="shared" si="16"/>
        <v/>
      </c>
      <c r="Q68" s="216" t="str">
        <f>""</f>
        <v/>
      </c>
      <c r="R68" s="216" t="str">
        <f>""</f>
        <v/>
      </c>
      <c r="S68" s="216" t="str">
        <f>""</f>
        <v/>
      </c>
      <c r="T68" s="216" t="str">
        <f>""</f>
        <v/>
      </c>
      <c r="U68" s="216" t="str">
        <f>""</f>
        <v/>
      </c>
      <c r="V68" s="216" t="str">
        <f t="shared" si="13"/>
        <v/>
      </c>
      <c r="W68" s="216" t="str">
        <f t="shared" si="9"/>
        <v/>
      </c>
      <c r="X68" s="216" t="str">
        <f t="shared" si="14"/>
        <v/>
      </c>
      <c r="Y68" s="216" t="str">
        <f t="shared" si="15"/>
        <v/>
      </c>
    </row>
    <row r="69" spans="1:25" ht="13.5" customHeight="1" x14ac:dyDescent="0.2">
      <c r="A69" s="151" t="str">
        <f t="shared" si="10"/>
        <v/>
      </c>
      <c r="B69" s="151">
        <f>IF(A69="",-1,IF(Data!$AP$3=2,IFERROR(SUM('Start List'!W69,X69/100,-A69/1000000),IFERROR(SUM(W69,-A69/1000000),0)),IFERROR(SUM(W69,X69/100,Y69/10000,-A69/1000000),IFERROR(SUM(W69,-A69/1000000),0))))</f>
        <v>-1</v>
      </c>
      <c r="C69" s="151">
        <f>IF(A69="",-1,IF(Data!$AP$3=2,IFERROR(SUM('Start List'!W69,X69/100,-A69/1000000),IFERROR(SUM(W69,-A69/1000000),0)),IFERROR(SUM(W69,X69/100,Y69/10000,-A69/1000000),IFERROR(SUM(W69,-A69/1000000),0))))+IF(OR(G69="M",G69="H"),1000,0)</f>
        <v>-1</v>
      </c>
      <c r="D69" s="213"/>
      <c r="E69" s="214"/>
      <c r="F69" s="215"/>
      <c r="G69" s="215"/>
      <c r="H69" s="155" t="e">
        <f>VLOOKUP(E69,Data!$A$1:$B$400,2,FALSE)</f>
        <v>#N/A</v>
      </c>
      <c r="I69" s="82">
        <f t="shared" si="11"/>
        <v>100</v>
      </c>
      <c r="J69" s="87" t="str">
        <f t="shared" si="8"/>
        <v/>
      </c>
      <c r="K69" s="216" t="str">
        <f>""</f>
        <v/>
      </c>
      <c r="L69" s="216" t="str">
        <f>""</f>
        <v/>
      </c>
      <c r="M69" s="216" t="str">
        <f>""</f>
        <v/>
      </c>
      <c r="N69" s="216" t="str">
        <f>""</f>
        <v/>
      </c>
      <c r="O69" s="216" t="str">
        <f>""</f>
        <v/>
      </c>
      <c r="P69" s="216" t="str">
        <f t="shared" si="16"/>
        <v/>
      </c>
      <c r="Q69" s="216" t="str">
        <f>""</f>
        <v/>
      </c>
      <c r="R69" s="216" t="str">
        <f>""</f>
        <v/>
      </c>
      <c r="S69" s="216" t="str">
        <f>""</f>
        <v/>
      </c>
      <c r="T69" s="216" t="str">
        <f>""</f>
        <v/>
      </c>
      <c r="U69" s="216" t="str">
        <f>""</f>
        <v/>
      </c>
      <c r="V69" s="216" t="str">
        <f t="shared" si="13"/>
        <v/>
      </c>
      <c r="W69" s="216" t="str">
        <f t="shared" si="9"/>
        <v/>
      </c>
      <c r="X69" s="216" t="str">
        <f t="shared" si="14"/>
        <v/>
      </c>
      <c r="Y69" s="216" t="str">
        <f t="shared" si="15"/>
        <v/>
      </c>
    </row>
    <row r="70" spans="1:25" ht="13.5" customHeight="1" x14ac:dyDescent="0.2">
      <c r="A70" s="151" t="str">
        <f t="shared" si="10"/>
        <v/>
      </c>
      <c r="B70" s="151">
        <f>IF(A70="",-1,IF(Data!$AP$3=2,IFERROR(SUM('Start List'!W70,X70/100,-A70/1000000),IFERROR(SUM(W70,-A70/1000000),0)),IFERROR(SUM(W70,X70/100,Y70/10000,-A70/1000000),IFERROR(SUM(W70,-A70/1000000),0))))</f>
        <v>-1</v>
      </c>
      <c r="C70" s="151">
        <f>IF(A70="",-1,IF(Data!$AP$3=2,IFERROR(SUM('Start List'!W70,X70/100,-A70/1000000),IFERROR(SUM(W70,-A70/1000000),0)),IFERROR(SUM(W70,X70/100,Y70/10000,-A70/1000000),IFERROR(SUM(W70,-A70/1000000),0))))+IF(OR(G70="M",G70="H"),1000,0)</f>
        <v>-1</v>
      </c>
      <c r="D70" s="213"/>
      <c r="E70" s="214"/>
      <c r="F70" s="215"/>
      <c r="G70" s="215"/>
      <c r="H70" s="155" t="e">
        <f>VLOOKUP(E70,Data!$A$1:$B$400,2,FALSE)</f>
        <v>#N/A</v>
      </c>
      <c r="I70" s="82">
        <f t="shared" si="11"/>
        <v>100</v>
      </c>
      <c r="J70" s="87" t="str">
        <f t="shared" si="8"/>
        <v/>
      </c>
      <c r="K70" s="216" t="str">
        <f>""</f>
        <v/>
      </c>
      <c r="L70" s="216" t="str">
        <f>""</f>
        <v/>
      </c>
      <c r="M70" s="216" t="str">
        <f>""</f>
        <v/>
      </c>
      <c r="N70" s="216" t="str">
        <f>""</f>
        <v/>
      </c>
      <c r="O70" s="216" t="str">
        <f>""</f>
        <v/>
      </c>
      <c r="P70" s="216" t="str">
        <f t="shared" si="16"/>
        <v/>
      </c>
      <c r="Q70" s="216" t="str">
        <f>""</f>
        <v/>
      </c>
      <c r="R70" s="216" t="str">
        <f>""</f>
        <v/>
      </c>
      <c r="S70" s="216" t="str">
        <f>""</f>
        <v/>
      </c>
      <c r="T70" s="216" t="str">
        <f>""</f>
        <v/>
      </c>
      <c r="U70" s="216" t="str">
        <f>""</f>
        <v/>
      </c>
      <c r="V70" s="216" t="str">
        <f t="shared" si="13"/>
        <v/>
      </c>
      <c r="W70" s="216" t="str">
        <f t="shared" si="9"/>
        <v/>
      </c>
      <c r="X70" s="216" t="str">
        <f t="shared" si="14"/>
        <v/>
      </c>
      <c r="Y70" s="216" t="str">
        <f t="shared" si="15"/>
        <v/>
      </c>
    </row>
    <row r="71" spans="1:25" ht="13.5" customHeight="1" x14ac:dyDescent="0.2">
      <c r="A71" s="151" t="str">
        <f t="shared" si="10"/>
        <v/>
      </c>
      <c r="B71" s="151">
        <f>IF(A71="",-1,IF(Data!$AP$3=2,IFERROR(SUM('Start List'!W71,X71/100,-A71/1000000),IFERROR(SUM(W71,-A71/1000000),0)),IFERROR(SUM(W71,X71/100,Y71/10000,-A71/1000000),IFERROR(SUM(W71,-A71/1000000),0))))</f>
        <v>-1</v>
      </c>
      <c r="C71" s="151">
        <f>IF(A71="",-1,IF(Data!$AP$3=2,IFERROR(SUM('Start List'!W71,X71/100,-A71/1000000),IFERROR(SUM(W71,-A71/1000000),0)),IFERROR(SUM(W71,X71/100,Y71/10000,-A71/1000000),IFERROR(SUM(W71,-A71/1000000),0))))+IF(OR(G71="M",G71="H"),1000,0)</f>
        <v>-1</v>
      </c>
      <c r="D71" s="213"/>
      <c r="E71" s="214"/>
      <c r="F71" s="215"/>
      <c r="G71" s="215"/>
      <c r="H71" s="155" t="e">
        <f>VLOOKUP(E71,Data!$A$1:$B$400,2,FALSE)</f>
        <v>#N/A</v>
      </c>
      <c r="I71" s="82">
        <f t="shared" si="11"/>
        <v>100</v>
      </c>
      <c r="J71" s="87" t="str">
        <f t="shared" si="8"/>
        <v/>
      </c>
      <c r="K71" s="216" t="str">
        <f>""</f>
        <v/>
      </c>
      <c r="L71" s="216" t="str">
        <f>""</f>
        <v/>
      </c>
      <c r="M71" s="216" t="str">
        <f>""</f>
        <v/>
      </c>
      <c r="N71" s="216" t="str">
        <f>""</f>
        <v/>
      </c>
      <c r="O71" s="216" t="str">
        <f>""</f>
        <v/>
      </c>
      <c r="P71" s="216" t="str">
        <f t="shared" si="16"/>
        <v/>
      </c>
      <c r="Q71" s="216" t="str">
        <f>""</f>
        <v/>
      </c>
      <c r="R71" s="216" t="str">
        <f>""</f>
        <v/>
      </c>
      <c r="S71" s="216" t="str">
        <f>""</f>
        <v/>
      </c>
      <c r="T71" s="216" t="str">
        <f>""</f>
        <v/>
      </c>
      <c r="U71" s="216" t="str">
        <f>""</f>
        <v/>
      </c>
      <c r="V71" s="216" t="str">
        <f t="shared" si="13"/>
        <v/>
      </c>
      <c r="W71" s="216" t="str">
        <f t="shared" si="9"/>
        <v/>
      </c>
      <c r="X71" s="216" t="str">
        <f t="shared" si="14"/>
        <v/>
      </c>
      <c r="Y71" s="216" t="str">
        <f t="shared" si="15"/>
        <v/>
      </c>
    </row>
    <row r="72" spans="1:25" ht="13.5" customHeight="1" x14ac:dyDescent="0.2">
      <c r="A72" s="151" t="str">
        <f t="shared" si="10"/>
        <v/>
      </c>
      <c r="B72" s="151">
        <f>IF(A72="",-1,IF(Data!$AP$3=2,IFERROR(SUM('Start List'!W72,X72/100,-A72/1000000),IFERROR(SUM(W72,-A72/1000000),0)),IFERROR(SUM(W72,X72/100,Y72/10000,-A72/1000000),IFERROR(SUM(W72,-A72/1000000),0))))</f>
        <v>-1</v>
      </c>
      <c r="C72" s="151">
        <f>IF(A72="",-1,IF(Data!$AP$3=2,IFERROR(SUM('Start List'!W72,X72/100,-A72/1000000),IFERROR(SUM(W72,-A72/1000000),0)),IFERROR(SUM(W72,X72/100,Y72/10000,-A72/1000000),IFERROR(SUM(W72,-A72/1000000),0))))+IF(OR(G72="M",G72="H"),1000,0)</f>
        <v>-1</v>
      </c>
      <c r="D72" s="213"/>
      <c r="E72" s="214"/>
      <c r="F72" s="215"/>
      <c r="G72" s="215"/>
      <c r="H72" s="155" t="e">
        <f>VLOOKUP(E72,Data!$A$1:$B$400,2,FALSE)</f>
        <v>#N/A</v>
      </c>
      <c r="I72" s="82">
        <f t="shared" si="11"/>
        <v>100</v>
      </c>
      <c r="J72" s="87" t="str">
        <f t="shared" si="8"/>
        <v/>
      </c>
      <c r="K72" s="216" t="str">
        <f>""</f>
        <v/>
      </c>
      <c r="L72" s="216" t="str">
        <f>""</f>
        <v/>
      </c>
      <c r="M72" s="216" t="str">
        <f>""</f>
        <v/>
      </c>
      <c r="N72" s="216" t="str">
        <f>""</f>
        <v/>
      </c>
      <c r="O72" s="216" t="str">
        <f>""</f>
        <v/>
      </c>
      <c r="P72" s="216" t="str">
        <f t="shared" si="16"/>
        <v/>
      </c>
      <c r="Q72" s="216" t="str">
        <f>""</f>
        <v/>
      </c>
      <c r="R72" s="216" t="str">
        <f>""</f>
        <v/>
      </c>
      <c r="S72" s="216" t="str">
        <f>""</f>
        <v/>
      </c>
      <c r="T72" s="216" t="str">
        <f>""</f>
        <v/>
      </c>
      <c r="U72" s="216" t="str">
        <f>""</f>
        <v/>
      </c>
      <c r="V72" s="216" t="str">
        <f t="shared" si="13"/>
        <v/>
      </c>
      <c r="W72" s="216" t="str">
        <f t="shared" si="9"/>
        <v/>
      </c>
      <c r="X72" s="216" t="str">
        <f t="shared" si="14"/>
        <v/>
      </c>
      <c r="Y72" s="216" t="str">
        <f t="shared" si="15"/>
        <v/>
      </c>
    </row>
    <row r="73" spans="1:25" ht="13.5" customHeight="1" x14ac:dyDescent="0.2">
      <c r="A73" s="151" t="str">
        <f t="shared" si="10"/>
        <v/>
      </c>
      <c r="B73" s="151">
        <f>IF(A73="",-1,IF(Data!$AP$3=2,IFERROR(SUM('Start List'!W73,X73/100,-A73/1000000),IFERROR(SUM(W73,-A73/1000000),0)),IFERROR(SUM(W73,X73/100,Y73/10000,-A73/1000000),IFERROR(SUM(W73,-A73/1000000),0))))</f>
        <v>-1</v>
      </c>
      <c r="C73" s="151">
        <f>IF(A73="",-1,IF(Data!$AP$3=2,IFERROR(SUM('Start List'!W73,X73/100,-A73/1000000),IFERROR(SUM(W73,-A73/1000000),0)),IFERROR(SUM(W73,X73/100,Y73/10000,-A73/1000000),IFERROR(SUM(W73,-A73/1000000),0))))+IF(OR(G73="M",G73="H"),1000,0)</f>
        <v>-1</v>
      </c>
      <c r="D73" s="213"/>
      <c r="E73" s="214"/>
      <c r="F73" s="215"/>
      <c r="G73" s="215"/>
      <c r="H73" s="155" t="e">
        <f>VLOOKUP(E73,Data!$A$1:$B$400,2,FALSE)</f>
        <v>#N/A</v>
      </c>
      <c r="I73" s="82">
        <f t="shared" si="11"/>
        <v>100</v>
      </c>
      <c r="J73" s="87" t="str">
        <f t="shared" si="8"/>
        <v/>
      </c>
      <c r="K73" s="216" t="str">
        <f>""</f>
        <v/>
      </c>
      <c r="L73" s="216" t="str">
        <f>""</f>
        <v/>
      </c>
      <c r="M73" s="216" t="str">
        <f>""</f>
        <v/>
      </c>
      <c r="N73" s="216" t="str">
        <f>""</f>
        <v/>
      </c>
      <c r="O73" s="216" t="str">
        <f>""</f>
        <v/>
      </c>
      <c r="P73" s="216" t="str">
        <f t="shared" si="16"/>
        <v/>
      </c>
      <c r="Q73" s="216" t="str">
        <f>""</f>
        <v/>
      </c>
      <c r="R73" s="216" t="str">
        <f>""</f>
        <v/>
      </c>
      <c r="S73" s="216" t="str">
        <f>""</f>
        <v/>
      </c>
      <c r="T73" s="216" t="str">
        <f>""</f>
        <v/>
      </c>
      <c r="U73" s="216" t="str">
        <f>""</f>
        <v/>
      </c>
      <c r="V73" s="216" t="str">
        <f t="shared" si="13"/>
        <v/>
      </c>
      <c r="W73" s="216" t="str">
        <f t="shared" si="9"/>
        <v/>
      </c>
      <c r="X73" s="216" t="str">
        <f t="shared" si="14"/>
        <v/>
      </c>
      <c r="Y73" s="216" t="str">
        <f t="shared" si="15"/>
        <v/>
      </c>
    </row>
    <row r="74" spans="1:25" ht="13.5" customHeight="1" x14ac:dyDescent="0.2">
      <c r="A74" s="151" t="str">
        <f t="shared" si="10"/>
        <v/>
      </c>
      <c r="B74" s="151">
        <f>IF(A74="",-1,IF(Data!$AP$3=2,IFERROR(SUM('Start List'!W74,X74/100,-A74/1000000),IFERROR(SUM(W74,-A74/1000000),0)),IFERROR(SUM(W74,X74/100,Y74/10000,-A74/1000000),IFERROR(SUM(W74,-A74/1000000),0))))</f>
        <v>-1</v>
      </c>
      <c r="C74" s="151">
        <f>IF(A74="",-1,IF(Data!$AP$3=2,IFERROR(SUM('Start List'!W74,X74/100,-A74/1000000),IFERROR(SUM(W74,-A74/1000000),0)),IFERROR(SUM(W74,X74/100,Y74/10000,-A74/1000000),IFERROR(SUM(W74,-A74/1000000),0))))+IF(OR(G74="M",G74="H"),1000,0)</f>
        <v>-1</v>
      </c>
      <c r="D74" s="213"/>
      <c r="E74" s="214"/>
      <c r="F74" s="215"/>
      <c r="G74" s="215"/>
      <c r="H74" s="155" t="e">
        <f>VLOOKUP(E74,Data!$A$1:$B$400,2,FALSE)</f>
        <v>#N/A</v>
      </c>
      <c r="I74" s="82">
        <f t="shared" si="11"/>
        <v>100</v>
      </c>
      <c r="J74" s="87" t="str">
        <f t="shared" si="8"/>
        <v/>
      </c>
      <c r="K74" s="216" t="str">
        <f>""</f>
        <v/>
      </c>
      <c r="L74" s="216" t="str">
        <f>""</f>
        <v/>
      </c>
      <c r="M74" s="216" t="str">
        <f>""</f>
        <v/>
      </c>
      <c r="N74" s="216" t="str">
        <f>""</f>
        <v/>
      </c>
      <c r="O74" s="216" t="str">
        <f>""</f>
        <v/>
      </c>
      <c r="P74" s="216" t="str">
        <f t="shared" si="16"/>
        <v/>
      </c>
      <c r="Q74" s="216" t="str">
        <f>""</f>
        <v/>
      </c>
      <c r="R74" s="216" t="str">
        <f>""</f>
        <v/>
      </c>
      <c r="S74" s="216" t="str">
        <f>""</f>
        <v/>
      </c>
      <c r="T74" s="216" t="str">
        <f>""</f>
        <v/>
      </c>
      <c r="U74" s="216" t="str">
        <f>""</f>
        <v/>
      </c>
      <c r="V74" s="216" t="str">
        <f t="shared" si="13"/>
        <v/>
      </c>
      <c r="W74" s="216" t="str">
        <f t="shared" si="9"/>
        <v/>
      </c>
      <c r="X74" s="216" t="str">
        <f t="shared" si="14"/>
        <v/>
      </c>
      <c r="Y74" s="216" t="str">
        <f t="shared" si="15"/>
        <v/>
      </c>
    </row>
    <row r="75" spans="1:25" ht="13.5" customHeight="1" x14ac:dyDescent="0.2">
      <c r="A75" s="151" t="str">
        <f t="shared" si="10"/>
        <v/>
      </c>
      <c r="B75" s="151">
        <f>IF(A75="",-1,IF(Data!$AP$3=2,IFERROR(SUM('Start List'!W75,X75/100,-A75/1000000),IFERROR(SUM(W75,-A75/1000000),0)),IFERROR(SUM(W75,X75/100,Y75/10000,-A75/1000000),IFERROR(SUM(W75,-A75/1000000),0))))</f>
        <v>-1</v>
      </c>
      <c r="C75" s="151">
        <f>IF(A75="",-1,IF(Data!$AP$3=2,IFERROR(SUM('Start List'!W75,X75/100,-A75/1000000),IFERROR(SUM(W75,-A75/1000000),0)),IFERROR(SUM(W75,X75/100,Y75/10000,-A75/1000000),IFERROR(SUM(W75,-A75/1000000),0))))+IF(OR(G75="M",G75="H"),1000,0)</f>
        <v>-1</v>
      </c>
      <c r="D75" s="213"/>
      <c r="E75" s="214"/>
      <c r="F75" s="215"/>
      <c r="G75" s="215"/>
      <c r="H75" s="155" t="e">
        <f>VLOOKUP(E75,Data!$A$1:$B$400,2,FALSE)</f>
        <v>#N/A</v>
      </c>
      <c r="I75" s="82">
        <f t="shared" si="11"/>
        <v>100</v>
      </c>
      <c r="J75" s="87" t="str">
        <f t="shared" si="8"/>
        <v/>
      </c>
      <c r="K75" s="216" t="str">
        <f>""</f>
        <v/>
      </c>
      <c r="L75" s="216" t="str">
        <f>""</f>
        <v/>
      </c>
      <c r="M75" s="216" t="str">
        <f>""</f>
        <v/>
      </c>
      <c r="N75" s="216" t="str">
        <f>""</f>
        <v/>
      </c>
      <c r="O75" s="216" t="str">
        <f>""</f>
        <v/>
      </c>
      <c r="P75" s="216" t="str">
        <f t="shared" si="16"/>
        <v/>
      </c>
      <c r="Q75" s="216" t="str">
        <f>""</f>
        <v/>
      </c>
      <c r="R75" s="216" t="str">
        <f>""</f>
        <v/>
      </c>
      <c r="S75" s="216" t="str">
        <f>""</f>
        <v/>
      </c>
      <c r="T75" s="216" t="str">
        <f>""</f>
        <v/>
      </c>
      <c r="U75" s="216" t="str">
        <f>""</f>
        <v/>
      </c>
      <c r="V75" s="216" t="str">
        <f t="shared" si="13"/>
        <v/>
      </c>
      <c r="W75" s="216" t="str">
        <f t="shared" si="9"/>
        <v/>
      </c>
      <c r="X75" s="216" t="str">
        <f t="shared" si="14"/>
        <v/>
      </c>
      <c r="Y75" s="216" t="str">
        <f t="shared" si="15"/>
        <v/>
      </c>
    </row>
    <row r="76" spans="1:25" ht="13.5" customHeight="1" x14ac:dyDescent="0.2">
      <c r="A76" s="151" t="str">
        <f t="shared" si="10"/>
        <v/>
      </c>
      <c r="B76" s="151">
        <f>IF(A76="",-1,IF(Data!$AP$3=2,IFERROR(SUM('Start List'!W76,X76/100,-A76/1000000),IFERROR(SUM(W76,-A76/1000000),0)),IFERROR(SUM(W76,X76/100,Y76/10000,-A76/1000000),IFERROR(SUM(W76,-A76/1000000),0))))</f>
        <v>-1</v>
      </c>
      <c r="C76" s="151">
        <f>IF(A76="",-1,IF(Data!$AP$3=2,IFERROR(SUM('Start List'!W76,X76/100,-A76/1000000),IFERROR(SUM(W76,-A76/1000000),0)),IFERROR(SUM(W76,X76/100,Y76/10000,-A76/1000000),IFERROR(SUM(W76,-A76/1000000),0))))+IF(OR(G76="M",G76="H"),1000,0)</f>
        <v>-1</v>
      </c>
      <c r="D76" s="213"/>
      <c r="E76" s="214"/>
      <c r="F76" s="215"/>
      <c r="G76" s="215"/>
      <c r="H76" s="155" t="e">
        <f>VLOOKUP(E76,Data!$A$1:$B$400,2,FALSE)</f>
        <v>#N/A</v>
      </c>
      <c r="I76" s="82">
        <f t="shared" si="11"/>
        <v>100</v>
      </c>
      <c r="J76" s="87" t="str">
        <f t="shared" si="8"/>
        <v/>
      </c>
      <c r="K76" s="216" t="str">
        <f>""</f>
        <v/>
      </c>
      <c r="L76" s="216" t="str">
        <f>""</f>
        <v/>
      </c>
      <c r="M76" s="216" t="str">
        <f>""</f>
        <v/>
      </c>
      <c r="N76" s="216" t="str">
        <f>""</f>
        <v/>
      </c>
      <c r="O76" s="216" t="str">
        <f>""</f>
        <v/>
      </c>
      <c r="P76" s="216" t="str">
        <f t="shared" si="16"/>
        <v/>
      </c>
      <c r="Q76" s="216" t="str">
        <f>""</f>
        <v/>
      </c>
      <c r="R76" s="216" t="str">
        <f>""</f>
        <v/>
      </c>
      <c r="S76" s="216" t="str">
        <f>""</f>
        <v/>
      </c>
      <c r="T76" s="216" t="str">
        <f>""</f>
        <v/>
      </c>
      <c r="U76" s="216" t="str">
        <f>""</f>
        <v/>
      </c>
      <c r="V76" s="216" t="str">
        <f t="shared" si="13"/>
        <v/>
      </c>
      <c r="W76" s="216" t="str">
        <f t="shared" si="9"/>
        <v/>
      </c>
      <c r="X76" s="216" t="str">
        <f t="shared" si="14"/>
        <v/>
      </c>
      <c r="Y76" s="216" t="str">
        <f t="shared" si="15"/>
        <v/>
      </c>
    </row>
    <row r="77" spans="1:25" ht="13.5" customHeight="1" x14ac:dyDescent="0.2">
      <c r="A77" s="151" t="str">
        <f t="shared" si="10"/>
        <v/>
      </c>
      <c r="B77" s="151">
        <f>IF(A77="",-1,IF(Data!$AP$3=2,IFERROR(SUM('Start List'!W77,X77/100,-A77/1000000),IFERROR(SUM(W77,-A77/1000000),0)),IFERROR(SUM(W77,X77/100,Y77/10000,-A77/1000000),IFERROR(SUM(W77,-A77/1000000),0))))</f>
        <v>-1</v>
      </c>
      <c r="C77" s="151">
        <f>IF(A77="",-1,IF(Data!$AP$3=2,IFERROR(SUM('Start List'!W77,X77/100,-A77/1000000),IFERROR(SUM(W77,-A77/1000000),0)),IFERROR(SUM(W77,X77/100,Y77/10000,-A77/1000000),IFERROR(SUM(W77,-A77/1000000),0))))+IF(OR(G77="M",G77="H"),1000,0)</f>
        <v>-1</v>
      </c>
      <c r="D77" s="213"/>
      <c r="E77" s="214"/>
      <c r="F77" s="215"/>
      <c r="G77" s="215"/>
      <c r="H77" s="155" t="e">
        <f>VLOOKUP(E77,Data!$A$1:$B$400,2,FALSE)</f>
        <v>#N/A</v>
      </c>
      <c r="I77" s="82">
        <f t="shared" si="11"/>
        <v>100</v>
      </c>
      <c r="J77" s="87" t="str">
        <f t="shared" si="8"/>
        <v/>
      </c>
      <c r="K77" s="216" t="str">
        <f>""</f>
        <v/>
      </c>
      <c r="L77" s="216" t="str">
        <f>""</f>
        <v/>
      </c>
      <c r="M77" s="216" t="str">
        <f>""</f>
        <v/>
      </c>
      <c r="N77" s="216" t="str">
        <f>""</f>
        <v/>
      </c>
      <c r="O77" s="216" t="str">
        <f>""</f>
        <v/>
      </c>
      <c r="P77" s="216" t="str">
        <f t="shared" si="16"/>
        <v/>
      </c>
      <c r="Q77" s="216" t="str">
        <f>""</f>
        <v/>
      </c>
      <c r="R77" s="216" t="str">
        <f>""</f>
        <v/>
      </c>
      <c r="S77" s="216" t="str">
        <f>""</f>
        <v/>
      </c>
      <c r="T77" s="216" t="str">
        <f>""</f>
        <v/>
      </c>
      <c r="U77" s="216" t="str">
        <f>""</f>
        <v/>
      </c>
      <c r="V77" s="216" t="str">
        <f t="shared" si="13"/>
        <v/>
      </c>
      <c r="W77" s="216" t="str">
        <f t="shared" si="9"/>
        <v/>
      </c>
      <c r="X77" s="216" t="str">
        <f t="shared" si="14"/>
        <v/>
      </c>
      <c r="Y77" s="216" t="str">
        <f t="shared" si="15"/>
        <v/>
      </c>
    </row>
    <row r="78" spans="1:25" ht="13.5" customHeight="1" x14ac:dyDescent="0.2">
      <c r="A78" s="151" t="str">
        <f t="shared" si="10"/>
        <v/>
      </c>
      <c r="B78" s="151">
        <f>IF(A78="",-1,IF(Data!$AP$3=2,IFERROR(SUM('Start List'!W78,X78/100,-A78/1000000),IFERROR(SUM(W78,-A78/1000000),0)),IFERROR(SUM(W78,X78/100,Y78/10000,-A78/1000000),IFERROR(SUM(W78,-A78/1000000),0))))</f>
        <v>-1</v>
      </c>
      <c r="C78" s="151">
        <f>IF(A78="",-1,IF(Data!$AP$3=2,IFERROR(SUM('Start List'!W78,X78/100,-A78/1000000),IFERROR(SUM(W78,-A78/1000000),0)),IFERROR(SUM(W78,X78/100,Y78/10000,-A78/1000000),IFERROR(SUM(W78,-A78/1000000),0))))+IF(OR(G78="M",G78="H"),1000,0)</f>
        <v>-1</v>
      </c>
      <c r="D78" s="213"/>
      <c r="E78" s="214"/>
      <c r="F78" s="215"/>
      <c r="G78" s="215"/>
      <c r="H78" s="155" t="e">
        <f>VLOOKUP(E78,Data!$A$1:$B$400,2,FALSE)</f>
        <v>#N/A</v>
      </c>
      <c r="I78" s="82">
        <f t="shared" si="11"/>
        <v>100</v>
      </c>
      <c r="J78" s="87" t="str">
        <f t="shared" si="8"/>
        <v/>
      </c>
      <c r="K78" s="216" t="str">
        <f>""</f>
        <v/>
      </c>
      <c r="L78" s="216" t="str">
        <f>""</f>
        <v/>
      </c>
      <c r="M78" s="216" t="str">
        <f>""</f>
        <v/>
      </c>
      <c r="N78" s="216" t="str">
        <f>""</f>
        <v/>
      </c>
      <c r="O78" s="216" t="str">
        <f>""</f>
        <v/>
      </c>
      <c r="P78" s="216" t="str">
        <f t="shared" si="16"/>
        <v/>
      </c>
      <c r="Q78" s="216" t="str">
        <f>""</f>
        <v/>
      </c>
      <c r="R78" s="216" t="str">
        <f>""</f>
        <v/>
      </c>
      <c r="S78" s="216" t="str">
        <f>""</f>
        <v/>
      </c>
      <c r="T78" s="216" t="str">
        <f>""</f>
        <v/>
      </c>
      <c r="U78" s="216" t="str">
        <f>""</f>
        <v/>
      </c>
      <c r="V78" s="216" t="str">
        <f t="shared" si="13"/>
        <v/>
      </c>
      <c r="W78" s="216" t="str">
        <f t="shared" si="9"/>
        <v/>
      </c>
      <c r="X78" s="216" t="str">
        <f t="shared" si="14"/>
        <v/>
      </c>
      <c r="Y78" s="216" t="str">
        <f t="shared" si="15"/>
        <v/>
      </c>
    </row>
    <row r="79" spans="1:25" ht="13.5" customHeight="1" x14ac:dyDescent="0.2">
      <c r="A79" s="151" t="str">
        <f t="shared" si="10"/>
        <v/>
      </c>
      <c r="B79" s="151">
        <f>IF(A79="",-1,IF(Data!$AP$3=2,IFERROR(SUM('Start List'!W79,X79/100,-A79/1000000),IFERROR(SUM(W79,-A79/1000000),0)),IFERROR(SUM(W79,X79/100,Y79/10000,-A79/1000000),IFERROR(SUM(W79,-A79/1000000),0))))</f>
        <v>-1</v>
      </c>
      <c r="C79" s="151">
        <f>IF(A79="",-1,IF(Data!$AP$3=2,IFERROR(SUM('Start List'!W79,X79/100,-A79/1000000),IFERROR(SUM(W79,-A79/1000000),0)),IFERROR(SUM(W79,X79/100,Y79/10000,-A79/1000000),IFERROR(SUM(W79,-A79/1000000),0))))+IF(OR(G79="M",G79="H"),1000,0)</f>
        <v>-1</v>
      </c>
      <c r="D79" s="213"/>
      <c r="E79" s="214"/>
      <c r="F79" s="215"/>
      <c r="G79" s="215"/>
      <c r="H79" s="155" t="e">
        <f>VLOOKUP(E79,Data!$A$1:$B$400,2,FALSE)</f>
        <v>#N/A</v>
      </c>
      <c r="I79" s="82">
        <f t="shared" si="11"/>
        <v>100</v>
      </c>
      <c r="J79" s="87" t="str">
        <f t="shared" si="8"/>
        <v/>
      </c>
      <c r="K79" s="216" t="str">
        <f>""</f>
        <v/>
      </c>
      <c r="L79" s="216" t="str">
        <f>""</f>
        <v/>
      </c>
      <c r="M79" s="216" t="str">
        <f>""</f>
        <v/>
      </c>
      <c r="N79" s="216" t="str">
        <f>""</f>
        <v/>
      </c>
      <c r="O79" s="216" t="str">
        <f>""</f>
        <v/>
      </c>
      <c r="P79" s="216" t="str">
        <f t="shared" si="16"/>
        <v/>
      </c>
      <c r="Q79" s="216" t="str">
        <f>""</f>
        <v/>
      </c>
      <c r="R79" s="216" t="str">
        <f>""</f>
        <v/>
      </c>
      <c r="S79" s="216" t="str">
        <f>""</f>
        <v/>
      </c>
      <c r="T79" s="216" t="str">
        <f>""</f>
        <v/>
      </c>
      <c r="U79" s="216" t="str">
        <f>""</f>
        <v/>
      </c>
      <c r="V79" s="216" t="str">
        <f t="shared" ref="V79:V110" si="17">IF(OR(A78=COUNTA(D:D)-2,A78=""),"",IF(V$6="IR300",SUM(Q79:U79),""))</f>
        <v/>
      </c>
      <c r="W79" s="216" t="str">
        <f t="shared" si="9"/>
        <v/>
      </c>
      <c r="X79" s="216" t="str">
        <f t="shared" ref="X79:X110" si="18">IF(OR(X$6=10,A79=""),"",SUM(L79,P79,T79))</f>
        <v/>
      </c>
      <c r="Y79" s="216" t="str">
        <f t="shared" ref="Y79:Y110" si="19">IF(OR(A79="",Y$6="Notes"),"",SUM(M79,Q79,U79))</f>
        <v/>
      </c>
    </row>
    <row r="80" spans="1:25" ht="13.5" customHeight="1" x14ac:dyDescent="0.2">
      <c r="A80" s="151" t="str">
        <f t="shared" si="10"/>
        <v/>
      </c>
      <c r="B80" s="151">
        <f>IF(A80="",-1,IF(Data!$AP$3=2,IFERROR(SUM('Start List'!W80,X80/100,-A80/1000000),IFERROR(SUM(W80,-A80/1000000),0)),IFERROR(SUM(W80,X80/100,Y80/10000,-A80/1000000),IFERROR(SUM(W80,-A80/1000000),0))))</f>
        <v>-1</v>
      </c>
      <c r="C80" s="151">
        <f>IF(A80="",-1,IF(Data!$AP$3=2,IFERROR(SUM('Start List'!W80,X80/100,-A80/1000000),IFERROR(SUM(W80,-A80/1000000),0)),IFERROR(SUM(W80,X80/100,Y80/10000,-A80/1000000),IFERROR(SUM(W80,-A80/1000000),0))))+IF(OR(G80="M",G80="H"),1000,0)</f>
        <v>-1</v>
      </c>
      <c r="D80" s="213"/>
      <c r="E80" s="214"/>
      <c r="F80" s="215"/>
      <c r="G80" s="215"/>
      <c r="H80" s="155" t="e">
        <f>VLOOKUP(E80,Data!$A$1:$B$400,2,FALSE)</f>
        <v>#N/A</v>
      </c>
      <c r="I80" s="82">
        <f t="shared" si="11"/>
        <v>100</v>
      </c>
      <c r="J80" s="87" t="str">
        <f t="shared" ref="J80:J120" si="20">IF(F80="","",VLOOKUP(F80,$F$9:$J$14,5,FALSE))</f>
        <v/>
      </c>
      <c r="K80" s="216" t="str">
        <f>""</f>
        <v/>
      </c>
      <c r="L80" s="216" t="str">
        <f>""</f>
        <v/>
      </c>
      <c r="M80" s="216" t="str">
        <f>""</f>
        <v/>
      </c>
      <c r="N80" s="216" t="str">
        <f>""</f>
        <v/>
      </c>
      <c r="O80" s="216" t="str">
        <f>""</f>
        <v/>
      </c>
      <c r="P80" s="216" t="str">
        <f t="shared" ref="P80:P111" si="21">IF(OR(A79=COUNTA(D:D)-2,A79=""),"",IF(P$6="IR300",SUM(K80:O80),""))</f>
        <v/>
      </c>
      <c r="Q80" s="216" t="str">
        <f>""</f>
        <v/>
      </c>
      <c r="R80" s="216" t="str">
        <f>""</f>
        <v/>
      </c>
      <c r="S80" s="216" t="str">
        <f>""</f>
        <v/>
      </c>
      <c r="T80" s="216" t="str">
        <f>""</f>
        <v/>
      </c>
      <c r="U80" s="216" t="str">
        <f>""</f>
        <v/>
      </c>
      <c r="V80" s="216" t="str">
        <f t="shared" si="17"/>
        <v/>
      </c>
      <c r="W80" s="216" t="str">
        <f t="shared" ref="W80:W120" si="22">IF(OR(A80=COUNTA(D:D)-3,A80=""),"",IF(V$6="IR300",SUM(P80,V80),SUM(K80,O80,S80)))</f>
        <v/>
      </c>
      <c r="X80" s="216" t="str">
        <f t="shared" si="18"/>
        <v/>
      </c>
      <c r="Y80" s="216" t="str">
        <f t="shared" si="19"/>
        <v/>
      </c>
    </row>
    <row r="81" spans="1:25" ht="13.5" customHeight="1" x14ac:dyDescent="0.2">
      <c r="A81" s="151" t="str">
        <f t="shared" ref="A81:A120" si="23">IF(OR(A80=COUNTA(D:D)-4,A80=""),"",A80+1)</f>
        <v/>
      </c>
      <c r="B81" s="151">
        <f>IF(A81="",-1,IF(Data!$AP$3=2,IFERROR(SUM('Start List'!W81,X81/100,-A81/1000000),IFERROR(SUM(W81,-A81/1000000),0)),IFERROR(SUM(W81,X81/100,Y81/10000,-A81/1000000),IFERROR(SUM(W81,-A81/1000000),0))))</f>
        <v>-1</v>
      </c>
      <c r="C81" s="151">
        <f>IF(A81="",-1,IF(Data!$AP$3=2,IFERROR(SUM('Start List'!W81,X81/100,-A81/1000000),IFERROR(SUM(W81,-A81/1000000),0)),IFERROR(SUM(W81,X81/100,Y81/10000,-A81/1000000),IFERROR(SUM(W81,-A81/1000000),0))))+IF(OR(G81="M",G81="H"),1000,0)</f>
        <v>-1</v>
      </c>
      <c r="D81" s="213"/>
      <c r="E81" s="214"/>
      <c r="F81" s="215"/>
      <c r="G81" s="215"/>
      <c r="H81" s="155" t="e">
        <f>VLOOKUP(E81,Data!$A$1:$B$400,2,FALSE)</f>
        <v>#N/A</v>
      </c>
      <c r="I81" s="82">
        <f t="shared" si="11"/>
        <v>100</v>
      </c>
      <c r="J81" s="87" t="str">
        <f t="shared" si="20"/>
        <v/>
      </c>
      <c r="K81" s="216" t="str">
        <f>""</f>
        <v/>
      </c>
      <c r="L81" s="216" t="str">
        <f>""</f>
        <v/>
      </c>
      <c r="M81" s="216" t="str">
        <f>""</f>
        <v/>
      </c>
      <c r="N81" s="216" t="str">
        <f>""</f>
        <v/>
      </c>
      <c r="O81" s="216" t="str">
        <f>""</f>
        <v/>
      </c>
      <c r="P81" s="216" t="str">
        <f t="shared" si="21"/>
        <v/>
      </c>
      <c r="Q81" s="216" t="str">
        <f>""</f>
        <v/>
      </c>
      <c r="R81" s="216" t="str">
        <f>""</f>
        <v/>
      </c>
      <c r="S81" s="216" t="str">
        <f>""</f>
        <v/>
      </c>
      <c r="T81" s="216" t="str">
        <f>""</f>
        <v/>
      </c>
      <c r="U81" s="216" t="str">
        <f>""</f>
        <v/>
      </c>
      <c r="V81" s="216" t="str">
        <f t="shared" si="17"/>
        <v/>
      </c>
      <c r="W81" s="216" t="str">
        <f t="shared" si="22"/>
        <v/>
      </c>
      <c r="X81" s="216" t="str">
        <f t="shared" si="18"/>
        <v/>
      </c>
      <c r="Y81" s="216" t="str">
        <f t="shared" si="19"/>
        <v/>
      </c>
    </row>
    <row r="82" spans="1:25" ht="13.5" customHeight="1" x14ac:dyDescent="0.2">
      <c r="A82" s="151" t="str">
        <f t="shared" si="23"/>
        <v/>
      </c>
      <c r="B82" s="151">
        <f>IF(A82="",-1,IF(Data!$AP$3=2,IFERROR(SUM('Start List'!W82,X82/100,-A82/1000000),IFERROR(SUM(W82,-A82/1000000),0)),IFERROR(SUM(W82,X82/100,Y82/10000,-A82/1000000),IFERROR(SUM(W82,-A82/1000000),0))))</f>
        <v>-1</v>
      </c>
      <c r="C82" s="151">
        <f>IF(A82="",-1,IF(Data!$AP$3=2,IFERROR(SUM('Start List'!W82,X82/100,-A82/1000000),IFERROR(SUM(W82,-A82/1000000),0)),IFERROR(SUM(W82,X82/100,Y82/10000,-A82/1000000),IFERROR(SUM(W82,-A82/1000000),0))))+IF(OR(G82="M",G82="H"),1000,0)</f>
        <v>-1</v>
      </c>
      <c r="D82" s="213"/>
      <c r="E82" s="214"/>
      <c r="F82" s="215"/>
      <c r="G82" s="215"/>
      <c r="H82" s="155" t="e">
        <f>VLOOKUP(E82,Data!$A$1:$B$400,2,FALSE)</f>
        <v>#N/A</v>
      </c>
      <c r="I82" s="82">
        <f t="shared" si="11"/>
        <v>100</v>
      </c>
      <c r="J82" s="87" t="str">
        <f t="shared" si="20"/>
        <v/>
      </c>
      <c r="K82" s="216" t="str">
        <f>""</f>
        <v/>
      </c>
      <c r="L82" s="216" t="str">
        <f>""</f>
        <v/>
      </c>
      <c r="M82" s="216" t="str">
        <f>""</f>
        <v/>
      </c>
      <c r="N82" s="216" t="str">
        <f>""</f>
        <v/>
      </c>
      <c r="O82" s="216" t="str">
        <f>""</f>
        <v/>
      </c>
      <c r="P82" s="216" t="str">
        <f t="shared" si="21"/>
        <v/>
      </c>
      <c r="Q82" s="216" t="str">
        <f>""</f>
        <v/>
      </c>
      <c r="R82" s="216" t="str">
        <f>""</f>
        <v/>
      </c>
      <c r="S82" s="216" t="str">
        <f>""</f>
        <v/>
      </c>
      <c r="T82" s="216" t="str">
        <f>""</f>
        <v/>
      </c>
      <c r="U82" s="216" t="str">
        <f>""</f>
        <v/>
      </c>
      <c r="V82" s="216" t="str">
        <f t="shared" si="17"/>
        <v/>
      </c>
      <c r="W82" s="216" t="str">
        <f t="shared" si="22"/>
        <v/>
      </c>
      <c r="X82" s="216" t="str">
        <f t="shared" si="18"/>
        <v/>
      </c>
      <c r="Y82" s="216" t="str">
        <f t="shared" si="19"/>
        <v/>
      </c>
    </row>
    <row r="83" spans="1:25" ht="13.5" customHeight="1" x14ac:dyDescent="0.2">
      <c r="A83" s="151" t="str">
        <f t="shared" si="23"/>
        <v/>
      </c>
      <c r="B83" s="151">
        <f>IF(A83="",-1,IF(Data!$AP$3=2,IFERROR(SUM('Start List'!W83,X83/100,-A83/1000000),IFERROR(SUM(W83,-A83/1000000),0)),IFERROR(SUM(W83,X83/100,Y83/10000,-A83/1000000),IFERROR(SUM(W83,-A83/1000000),0))))</f>
        <v>-1</v>
      </c>
      <c r="C83" s="151">
        <f>IF(A83="",-1,IF(Data!$AP$3=2,IFERROR(SUM('Start List'!W83,X83/100,-A83/1000000),IFERROR(SUM(W83,-A83/1000000),0)),IFERROR(SUM(W83,X83/100,Y83/10000,-A83/1000000),IFERROR(SUM(W83,-A83/1000000),0))))+IF(OR(G83="M",G83="H"),1000,0)</f>
        <v>-1</v>
      </c>
      <c r="D83" s="213"/>
      <c r="E83" s="214"/>
      <c r="F83" s="215"/>
      <c r="G83" s="215"/>
      <c r="H83" s="155" t="e">
        <f>VLOOKUP(E83,Data!$A$1:$B$400,2,FALSE)</f>
        <v>#N/A</v>
      </c>
      <c r="I83" s="82">
        <f t="shared" si="11"/>
        <v>100</v>
      </c>
      <c r="J83" s="87" t="str">
        <f t="shared" si="20"/>
        <v/>
      </c>
      <c r="K83" s="216" t="str">
        <f>""</f>
        <v/>
      </c>
      <c r="L83" s="216" t="str">
        <f>""</f>
        <v/>
      </c>
      <c r="M83" s="216" t="str">
        <f>""</f>
        <v/>
      </c>
      <c r="N83" s="216" t="str">
        <f>""</f>
        <v/>
      </c>
      <c r="O83" s="216" t="str">
        <f>""</f>
        <v/>
      </c>
      <c r="P83" s="216" t="str">
        <f t="shared" si="21"/>
        <v/>
      </c>
      <c r="Q83" s="216" t="str">
        <f>""</f>
        <v/>
      </c>
      <c r="R83" s="216" t="str">
        <f>""</f>
        <v/>
      </c>
      <c r="S83" s="216" t="str">
        <f>""</f>
        <v/>
      </c>
      <c r="T83" s="216" t="str">
        <f>""</f>
        <v/>
      </c>
      <c r="U83" s="216" t="str">
        <f>""</f>
        <v/>
      </c>
      <c r="V83" s="216" t="str">
        <f t="shared" si="17"/>
        <v/>
      </c>
      <c r="W83" s="216" t="str">
        <f t="shared" si="22"/>
        <v/>
      </c>
      <c r="X83" s="216" t="str">
        <f t="shared" si="18"/>
        <v/>
      </c>
      <c r="Y83" s="216" t="str">
        <f t="shared" si="19"/>
        <v/>
      </c>
    </row>
    <row r="84" spans="1:25" ht="13.5" customHeight="1" x14ac:dyDescent="0.2">
      <c r="A84" s="151" t="str">
        <f t="shared" si="23"/>
        <v/>
      </c>
      <c r="B84" s="151">
        <f>IF(A84="",-1,IF(Data!$AP$3=2,IFERROR(SUM('Start List'!W84,X84/100,-A84/1000000),IFERROR(SUM(W84,-A84/1000000),0)),IFERROR(SUM(W84,X84/100,Y84/10000,-A84/1000000),IFERROR(SUM(W84,-A84/1000000),0))))</f>
        <v>-1</v>
      </c>
      <c r="C84" s="151">
        <f>IF(A84="",-1,IF(Data!$AP$3=2,IFERROR(SUM('Start List'!W84,X84/100,-A84/1000000),IFERROR(SUM(W84,-A84/1000000),0)),IFERROR(SUM(W84,X84/100,Y84/10000,-A84/1000000),IFERROR(SUM(W84,-A84/1000000),0))))+IF(OR(G84="M",G84="H"),1000,0)</f>
        <v>-1</v>
      </c>
      <c r="D84" s="213"/>
      <c r="E84" s="214"/>
      <c r="F84" s="215"/>
      <c r="G84" s="215"/>
      <c r="H84" s="155" t="e">
        <f>VLOOKUP(E84,Data!$A$1:$B$400,2,FALSE)</f>
        <v>#N/A</v>
      </c>
      <c r="I84" s="82">
        <f t="shared" si="11"/>
        <v>100</v>
      </c>
      <c r="J84" s="87" t="str">
        <f t="shared" si="20"/>
        <v/>
      </c>
      <c r="K84" s="216" t="str">
        <f>""</f>
        <v/>
      </c>
      <c r="L84" s="216" t="str">
        <f>""</f>
        <v/>
      </c>
      <c r="M84" s="216" t="str">
        <f>""</f>
        <v/>
      </c>
      <c r="N84" s="216" t="str">
        <f>""</f>
        <v/>
      </c>
      <c r="O84" s="216" t="str">
        <f>""</f>
        <v/>
      </c>
      <c r="P84" s="216" t="str">
        <f t="shared" si="21"/>
        <v/>
      </c>
      <c r="Q84" s="216" t="str">
        <f>""</f>
        <v/>
      </c>
      <c r="R84" s="216" t="str">
        <f>""</f>
        <v/>
      </c>
      <c r="S84" s="216" t="str">
        <f>""</f>
        <v/>
      </c>
      <c r="T84" s="216" t="str">
        <f>""</f>
        <v/>
      </c>
      <c r="U84" s="216" t="str">
        <f>""</f>
        <v/>
      </c>
      <c r="V84" s="216" t="str">
        <f t="shared" si="17"/>
        <v/>
      </c>
      <c r="W84" s="216" t="str">
        <f t="shared" si="22"/>
        <v/>
      </c>
      <c r="X84" s="216" t="str">
        <f t="shared" si="18"/>
        <v/>
      </c>
      <c r="Y84" s="216" t="str">
        <f t="shared" si="19"/>
        <v/>
      </c>
    </row>
    <row r="85" spans="1:25" ht="13.5" customHeight="1" x14ac:dyDescent="0.2">
      <c r="A85" s="151" t="str">
        <f t="shared" si="23"/>
        <v/>
      </c>
      <c r="B85" s="151">
        <f>IF(A85="",-1,IF(Data!$AP$3=2,IFERROR(SUM('Start List'!W85,X85/100,-A85/1000000),IFERROR(SUM(W85,-A85/1000000),0)),IFERROR(SUM(W85,X85/100,Y85/10000,-A85/1000000),IFERROR(SUM(W85,-A85/1000000),0))))</f>
        <v>-1</v>
      </c>
      <c r="C85" s="151">
        <f>IF(A85="",-1,IF(Data!$AP$3=2,IFERROR(SUM('Start List'!W85,X85/100,-A85/1000000),IFERROR(SUM(W85,-A85/1000000),0)),IFERROR(SUM(W85,X85/100,Y85/10000,-A85/1000000),IFERROR(SUM(W85,-A85/1000000),0))))+IF(OR(G85="M",G85="H"),1000,0)</f>
        <v>-1</v>
      </c>
      <c r="D85" s="213"/>
      <c r="E85" s="214"/>
      <c r="F85" s="215"/>
      <c r="G85" s="215"/>
      <c r="H85" s="155" t="e">
        <f>VLOOKUP(E85,Data!$A$1:$B$400,2,FALSE)</f>
        <v>#N/A</v>
      </c>
      <c r="I85" s="82">
        <f t="shared" si="11"/>
        <v>100</v>
      </c>
      <c r="J85" s="87" t="str">
        <f t="shared" si="20"/>
        <v/>
      </c>
      <c r="K85" s="216" t="str">
        <f>""</f>
        <v/>
      </c>
      <c r="L85" s="216" t="str">
        <f>""</f>
        <v/>
      </c>
      <c r="M85" s="216" t="str">
        <f>""</f>
        <v/>
      </c>
      <c r="N85" s="216" t="str">
        <f>""</f>
        <v/>
      </c>
      <c r="O85" s="216" t="str">
        <f>""</f>
        <v/>
      </c>
      <c r="P85" s="216" t="str">
        <f t="shared" si="21"/>
        <v/>
      </c>
      <c r="Q85" s="216" t="str">
        <f>""</f>
        <v/>
      </c>
      <c r="R85" s="216" t="str">
        <f>""</f>
        <v/>
      </c>
      <c r="S85" s="216" t="str">
        <f>""</f>
        <v/>
      </c>
      <c r="T85" s="216" t="str">
        <f>""</f>
        <v/>
      </c>
      <c r="U85" s="216" t="str">
        <f>""</f>
        <v/>
      </c>
      <c r="V85" s="216" t="str">
        <f t="shared" si="17"/>
        <v/>
      </c>
      <c r="W85" s="216" t="str">
        <f t="shared" si="22"/>
        <v/>
      </c>
      <c r="X85" s="216" t="str">
        <f t="shared" si="18"/>
        <v/>
      </c>
      <c r="Y85" s="216" t="str">
        <f t="shared" si="19"/>
        <v/>
      </c>
    </row>
    <row r="86" spans="1:25" ht="13.5" customHeight="1" x14ac:dyDescent="0.2">
      <c r="A86" s="151" t="str">
        <f t="shared" si="23"/>
        <v/>
      </c>
      <c r="B86" s="151">
        <f>IF(A86="",-1,IF(Data!$AP$3=2,IFERROR(SUM('Start List'!W86,X86/100,-A86/1000000),IFERROR(SUM(W86,-A86/1000000),0)),IFERROR(SUM(W86,X86/100,Y86/10000,-A86/1000000),IFERROR(SUM(W86,-A86/1000000),0))))</f>
        <v>-1</v>
      </c>
      <c r="C86" s="151">
        <f>IF(A86="",-1,IF(Data!$AP$3=2,IFERROR(SUM('Start List'!W86,X86/100,-A86/1000000),IFERROR(SUM(W86,-A86/1000000),0)),IFERROR(SUM(W86,X86/100,Y86/10000,-A86/1000000),IFERROR(SUM(W86,-A86/1000000),0))))+IF(OR(G86="M",G86="H"),1000,0)</f>
        <v>-1</v>
      </c>
      <c r="D86" s="213"/>
      <c r="E86" s="214"/>
      <c r="F86" s="215"/>
      <c r="G86" s="215"/>
      <c r="H86" s="155" t="e">
        <f>VLOOKUP(E86,Data!$A$1:$B$400,2,FALSE)</f>
        <v>#N/A</v>
      </c>
      <c r="I86" s="82">
        <f t="shared" si="11"/>
        <v>100</v>
      </c>
      <c r="J86" s="87" t="str">
        <f t="shared" si="20"/>
        <v/>
      </c>
      <c r="K86" s="216" t="str">
        <f>""</f>
        <v/>
      </c>
      <c r="L86" s="216" t="str">
        <f>""</f>
        <v/>
      </c>
      <c r="M86" s="216" t="str">
        <f>""</f>
        <v/>
      </c>
      <c r="N86" s="216" t="str">
        <f>""</f>
        <v/>
      </c>
      <c r="O86" s="216" t="str">
        <f>""</f>
        <v/>
      </c>
      <c r="P86" s="216" t="str">
        <f t="shared" si="21"/>
        <v/>
      </c>
      <c r="Q86" s="216" t="str">
        <f>""</f>
        <v/>
      </c>
      <c r="R86" s="216" t="str">
        <f>""</f>
        <v/>
      </c>
      <c r="S86" s="216" t="str">
        <f>""</f>
        <v/>
      </c>
      <c r="T86" s="216" t="str">
        <f>""</f>
        <v/>
      </c>
      <c r="U86" s="216" t="str">
        <f>""</f>
        <v/>
      </c>
      <c r="V86" s="216" t="str">
        <f t="shared" si="17"/>
        <v/>
      </c>
      <c r="W86" s="216" t="str">
        <f t="shared" si="22"/>
        <v/>
      </c>
      <c r="X86" s="216" t="str">
        <f t="shared" si="18"/>
        <v/>
      </c>
      <c r="Y86" s="216" t="str">
        <f t="shared" si="19"/>
        <v/>
      </c>
    </row>
    <row r="87" spans="1:25" ht="13.5" customHeight="1" x14ac:dyDescent="0.2">
      <c r="A87" s="151" t="str">
        <f t="shared" si="23"/>
        <v/>
      </c>
      <c r="B87" s="151">
        <f>IF(A87="",-1,IF(Data!$AP$3=2,IFERROR(SUM('Start List'!W87,X87/100,-A87/1000000),IFERROR(SUM(W87,-A87/1000000),0)),IFERROR(SUM(W87,X87/100,Y87/10000,-A87/1000000),IFERROR(SUM(W87,-A87/1000000),0))))</f>
        <v>-1</v>
      </c>
      <c r="C87" s="151">
        <f>IF(A87="",-1,IF(Data!$AP$3=2,IFERROR(SUM('Start List'!W87,X87/100,-A87/1000000),IFERROR(SUM(W87,-A87/1000000),0)),IFERROR(SUM(W87,X87/100,Y87/10000,-A87/1000000),IFERROR(SUM(W87,-A87/1000000),0))))+IF(OR(G87="M",G87="H"),1000,0)</f>
        <v>-1</v>
      </c>
      <c r="D87" s="213"/>
      <c r="E87" s="214"/>
      <c r="F87" s="215"/>
      <c r="G87" s="215"/>
      <c r="H87" s="155" t="e">
        <f>VLOOKUP(E87,Data!$A$1:$B$400,2,FALSE)</f>
        <v>#N/A</v>
      </c>
      <c r="I87" s="82">
        <f t="shared" si="11"/>
        <v>100</v>
      </c>
      <c r="J87" s="87" t="str">
        <f t="shared" si="20"/>
        <v/>
      </c>
      <c r="K87" s="216" t="str">
        <f>""</f>
        <v/>
      </c>
      <c r="L87" s="216" t="str">
        <f>""</f>
        <v/>
      </c>
      <c r="M87" s="216" t="str">
        <f>""</f>
        <v/>
      </c>
      <c r="N87" s="216" t="str">
        <f>""</f>
        <v/>
      </c>
      <c r="O87" s="216" t="str">
        <f>""</f>
        <v/>
      </c>
      <c r="P87" s="216" t="str">
        <f t="shared" si="21"/>
        <v/>
      </c>
      <c r="Q87" s="216" t="str">
        <f>""</f>
        <v/>
      </c>
      <c r="R87" s="216" t="str">
        <f>""</f>
        <v/>
      </c>
      <c r="S87" s="216" t="str">
        <f>""</f>
        <v/>
      </c>
      <c r="T87" s="216" t="str">
        <f>""</f>
        <v/>
      </c>
      <c r="U87" s="216" t="str">
        <f>""</f>
        <v/>
      </c>
      <c r="V87" s="216" t="str">
        <f t="shared" si="17"/>
        <v/>
      </c>
      <c r="W87" s="216" t="str">
        <f t="shared" si="22"/>
        <v/>
      </c>
      <c r="X87" s="216" t="str">
        <f t="shared" si="18"/>
        <v/>
      </c>
      <c r="Y87" s="216" t="str">
        <f t="shared" si="19"/>
        <v/>
      </c>
    </row>
    <row r="88" spans="1:25" ht="13.5" customHeight="1" x14ac:dyDescent="0.2">
      <c r="A88" s="151" t="str">
        <f t="shared" si="23"/>
        <v/>
      </c>
      <c r="B88" s="151">
        <f>IF(A88="",-1,IF(Data!$AP$3=2,IFERROR(SUM('Start List'!W88,X88/100,-A88/1000000),IFERROR(SUM(W88,-A88/1000000),0)),IFERROR(SUM(W88,X88/100,Y88/10000,-A88/1000000),IFERROR(SUM(W88,-A88/1000000),0))))</f>
        <v>-1</v>
      </c>
      <c r="C88" s="151">
        <f>IF(A88="",-1,IF(Data!$AP$3=2,IFERROR(SUM('Start List'!W88,X88/100,-A88/1000000),IFERROR(SUM(W88,-A88/1000000),0)),IFERROR(SUM(W88,X88/100,Y88/10000,-A88/1000000),IFERROR(SUM(W88,-A88/1000000),0))))+IF(OR(G88="M",G88="H"),1000,0)</f>
        <v>-1</v>
      </c>
      <c r="D88" s="213"/>
      <c r="E88" s="214"/>
      <c r="F88" s="215"/>
      <c r="G88" s="215"/>
      <c r="H88" s="155" t="e">
        <f>VLOOKUP(E88,Data!$A$1:$B$400,2,FALSE)</f>
        <v>#N/A</v>
      </c>
      <c r="I88" s="82">
        <f t="shared" si="11"/>
        <v>100</v>
      </c>
      <c r="J88" s="87" t="str">
        <f t="shared" si="20"/>
        <v/>
      </c>
      <c r="K88" s="216" t="str">
        <f>""</f>
        <v/>
      </c>
      <c r="L88" s="216" t="str">
        <f>""</f>
        <v/>
      </c>
      <c r="M88" s="216" t="str">
        <f>""</f>
        <v/>
      </c>
      <c r="N88" s="216" t="str">
        <f>""</f>
        <v/>
      </c>
      <c r="O88" s="216" t="str">
        <f>""</f>
        <v/>
      </c>
      <c r="P88" s="216" t="str">
        <f t="shared" si="21"/>
        <v/>
      </c>
      <c r="Q88" s="216" t="str">
        <f>""</f>
        <v/>
      </c>
      <c r="R88" s="216" t="str">
        <f>""</f>
        <v/>
      </c>
      <c r="S88" s="216" t="str">
        <f>""</f>
        <v/>
      </c>
      <c r="T88" s="216" t="str">
        <f>""</f>
        <v/>
      </c>
      <c r="U88" s="216" t="str">
        <f>""</f>
        <v/>
      </c>
      <c r="V88" s="216" t="str">
        <f t="shared" si="17"/>
        <v/>
      </c>
      <c r="W88" s="216" t="str">
        <f t="shared" si="22"/>
        <v/>
      </c>
      <c r="X88" s="216" t="str">
        <f t="shared" si="18"/>
        <v/>
      </c>
      <c r="Y88" s="216" t="str">
        <f t="shared" si="19"/>
        <v/>
      </c>
    </row>
    <row r="89" spans="1:25" ht="13.5" customHeight="1" x14ac:dyDescent="0.2">
      <c r="A89" s="151" t="str">
        <f t="shared" si="23"/>
        <v/>
      </c>
      <c r="B89" s="151">
        <f>IF(A89="",-1,IF(Data!$AP$3=2,IFERROR(SUM('Start List'!W89,X89/100,-A89/1000000),IFERROR(SUM(W89,-A89/1000000),0)),IFERROR(SUM(W89,X89/100,Y89/10000,-A89/1000000),IFERROR(SUM(W89,-A89/1000000),0))))</f>
        <v>-1</v>
      </c>
      <c r="C89" s="151">
        <f>IF(A89="",-1,IF(Data!$AP$3=2,IFERROR(SUM('Start List'!W89,X89/100,-A89/1000000),IFERROR(SUM(W89,-A89/1000000),0)),IFERROR(SUM(W89,X89/100,Y89/10000,-A89/1000000),IFERROR(SUM(W89,-A89/1000000),0))))+IF(OR(G89="M",G89="H"),1000,0)</f>
        <v>-1</v>
      </c>
      <c r="D89" s="213"/>
      <c r="E89" s="214"/>
      <c r="F89" s="215"/>
      <c r="G89" s="215"/>
      <c r="H89" s="155" t="e">
        <f>VLOOKUP(E89,Data!$A$1:$B$400,2,FALSE)</f>
        <v>#N/A</v>
      </c>
      <c r="I89" s="82">
        <f t="shared" si="11"/>
        <v>100</v>
      </c>
      <c r="J89" s="87" t="str">
        <f t="shared" si="20"/>
        <v/>
      </c>
      <c r="K89" s="216" t="str">
        <f>""</f>
        <v/>
      </c>
      <c r="L89" s="216" t="str">
        <f>""</f>
        <v/>
      </c>
      <c r="M89" s="216" t="str">
        <f>""</f>
        <v/>
      </c>
      <c r="N89" s="216" t="str">
        <f>""</f>
        <v/>
      </c>
      <c r="O89" s="216" t="str">
        <f>""</f>
        <v/>
      </c>
      <c r="P89" s="216" t="str">
        <f t="shared" si="21"/>
        <v/>
      </c>
      <c r="Q89" s="216" t="str">
        <f>""</f>
        <v/>
      </c>
      <c r="R89" s="216" t="str">
        <f>""</f>
        <v/>
      </c>
      <c r="S89" s="216" t="str">
        <f>""</f>
        <v/>
      </c>
      <c r="T89" s="216" t="str">
        <f>""</f>
        <v/>
      </c>
      <c r="U89" s="216" t="str">
        <f>""</f>
        <v/>
      </c>
      <c r="V89" s="216" t="str">
        <f t="shared" si="17"/>
        <v/>
      </c>
      <c r="W89" s="216" t="str">
        <f t="shared" si="22"/>
        <v/>
      </c>
      <c r="X89" s="216" t="str">
        <f t="shared" si="18"/>
        <v/>
      </c>
      <c r="Y89" s="216" t="str">
        <f t="shared" si="19"/>
        <v/>
      </c>
    </row>
    <row r="90" spans="1:25" ht="13.5" customHeight="1" x14ac:dyDescent="0.2">
      <c r="A90" s="151" t="str">
        <f t="shared" si="23"/>
        <v/>
      </c>
      <c r="B90" s="151">
        <f>IF(A90="",-1,IF(Data!$AP$3=2,IFERROR(SUM('Start List'!W90,X90/100,-A90/1000000),IFERROR(SUM(W90,-A90/1000000),0)),IFERROR(SUM(W90,X90/100,Y90/10000,-A90/1000000),IFERROR(SUM(W90,-A90/1000000),0))))</f>
        <v>-1</v>
      </c>
      <c r="C90" s="151">
        <f>IF(A90="",-1,IF(Data!$AP$3=2,IFERROR(SUM('Start List'!W90,X90/100,-A90/1000000),IFERROR(SUM(W90,-A90/1000000),0)),IFERROR(SUM(W90,X90/100,Y90/10000,-A90/1000000),IFERROR(SUM(W90,-A90/1000000),0))))+IF(OR(G90="M",G90="H"),1000,0)</f>
        <v>-1</v>
      </c>
      <c r="D90" s="213"/>
      <c r="E90" s="214"/>
      <c r="F90" s="215"/>
      <c r="G90" s="215"/>
      <c r="H90" s="155" t="e">
        <f>VLOOKUP(E90,Data!$A$1:$B$400,2,FALSE)</f>
        <v>#N/A</v>
      </c>
      <c r="I90" s="82">
        <f t="shared" si="11"/>
        <v>100</v>
      </c>
      <c r="J90" s="87" t="str">
        <f t="shared" si="20"/>
        <v/>
      </c>
      <c r="K90" s="216" t="str">
        <f>""</f>
        <v/>
      </c>
      <c r="L90" s="216" t="str">
        <f>""</f>
        <v/>
      </c>
      <c r="M90" s="216" t="str">
        <f>""</f>
        <v/>
      </c>
      <c r="N90" s="216" t="str">
        <f>""</f>
        <v/>
      </c>
      <c r="O90" s="216" t="str">
        <f>""</f>
        <v/>
      </c>
      <c r="P90" s="216" t="str">
        <f t="shared" si="21"/>
        <v/>
      </c>
      <c r="Q90" s="216" t="str">
        <f>""</f>
        <v/>
      </c>
      <c r="R90" s="216" t="str">
        <f>""</f>
        <v/>
      </c>
      <c r="S90" s="216" t="str">
        <f>""</f>
        <v/>
      </c>
      <c r="T90" s="216" t="str">
        <f>""</f>
        <v/>
      </c>
      <c r="U90" s="216" t="str">
        <f>""</f>
        <v/>
      </c>
      <c r="V90" s="216" t="str">
        <f t="shared" si="17"/>
        <v/>
      </c>
      <c r="W90" s="216" t="str">
        <f t="shared" si="22"/>
        <v/>
      </c>
      <c r="X90" s="216" t="str">
        <f t="shared" si="18"/>
        <v/>
      </c>
      <c r="Y90" s="216" t="str">
        <f t="shared" si="19"/>
        <v/>
      </c>
    </row>
    <row r="91" spans="1:25" ht="13.5" customHeight="1" x14ac:dyDescent="0.2">
      <c r="A91" s="151" t="str">
        <f t="shared" si="23"/>
        <v/>
      </c>
      <c r="B91" s="151">
        <f>IF(A91="",-1,IF(Data!$AP$3=2,IFERROR(SUM('Start List'!W91,X91/100,-A91/1000000),IFERROR(SUM(W91,-A91/1000000),0)),IFERROR(SUM(W91,X91/100,Y91/10000,-A91/1000000),IFERROR(SUM(W91,-A91/1000000),0))))</f>
        <v>-1</v>
      </c>
      <c r="C91" s="151">
        <f>IF(A91="",-1,IF(Data!$AP$3=2,IFERROR(SUM('Start List'!W91,X91/100,-A91/1000000),IFERROR(SUM(W91,-A91/1000000),0)),IFERROR(SUM(W91,X91/100,Y91/10000,-A91/1000000),IFERROR(SUM(W91,-A91/1000000),0))))+IF(OR(G91="M",G91="H"),1000,0)</f>
        <v>-1</v>
      </c>
      <c r="D91" s="213"/>
      <c r="E91" s="214"/>
      <c r="F91" s="215"/>
      <c r="G91" s="215"/>
      <c r="H91" s="155" t="e">
        <f>VLOOKUP(E91,Data!$A$1:$B$400,2,FALSE)</f>
        <v>#N/A</v>
      </c>
      <c r="I91" s="82">
        <f t="shared" si="11"/>
        <v>100</v>
      </c>
      <c r="J91" s="87" t="str">
        <f t="shared" si="20"/>
        <v/>
      </c>
      <c r="K91" s="216" t="str">
        <f>""</f>
        <v/>
      </c>
      <c r="L91" s="216" t="str">
        <f>""</f>
        <v/>
      </c>
      <c r="M91" s="216" t="str">
        <f>""</f>
        <v/>
      </c>
      <c r="N91" s="216" t="str">
        <f>""</f>
        <v/>
      </c>
      <c r="O91" s="216" t="str">
        <f>""</f>
        <v/>
      </c>
      <c r="P91" s="216" t="str">
        <f t="shared" si="21"/>
        <v/>
      </c>
      <c r="Q91" s="216" t="str">
        <f>""</f>
        <v/>
      </c>
      <c r="R91" s="216" t="str">
        <f>""</f>
        <v/>
      </c>
      <c r="S91" s="216" t="str">
        <f>""</f>
        <v/>
      </c>
      <c r="T91" s="216" t="str">
        <f>""</f>
        <v/>
      </c>
      <c r="U91" s="216" t="str">
        <f>""</f>
        <v/>
      </c>
      <c r="V91" s="216" t="str">
        <f t="shared" si="17"/>
        <v/>
      </c>
      <c r="W91" s="216" t="str">
        <f t="shared" si="22"/>
        <v/>
      </c>
      <c r="X91" s="216" t="str">
        <f t="shared" si="18"/>
        <v/>
      </c>
      <c r="Y91" s="216" t="str">
        <f t="shared" si="19"/>
        <v/>
      </c>
    </row>
    <row r="92" spans="1:25" ht="13.5" customHeight="1" x14ac:dyDescent="0.2">
      <c r="A92" s="151" t="str">
        <f t="shared" si="23"/>
        <v/>
      </c>
      <c r="B92" s="151">
        <f>IF(A92="",-1,IF(Data!$AP$3=2,IFERROR(SUM('Start List'!W92,X92/100,-A92/1000000),IFERROR(SUM(W92,-A92/1000000),0)),IFERROR(SUM(W92,X92/100,Y92/10000,-A92/1000000),IFERROR(SUM(W92,-A92/1000000),0))))</f>
        <v>-1</v>
      </c>
      <c r="C92" s="151">
        <f>IF(A92="",-1,IF(Data!$AP$3=2,IFERROR(SUM('Start List'!W92,X92/100,-A92/1000000),IFERROR(SUM(W92,-A92/1000000),0)),IFERROR(SUM(W92,X92/100,Y92/10000,-A92/1000000),IFERROR(SUM(W92,-A92/1000000),0))))+IF(OR(G92="M",G92="H"),1000,0)</f>
        <v>-1</v>
      </c>
      <c r="D92" s="213"/>
      <c r="E92" s="214"/>
      <c r="F92" s="215"/>
      <c r="G92" s="215"/>
      <c r="H92" s="155" t="e">
        <f>VLOOKUP(E92,Data!$A$1:$B$400,2,FALSE)</f>
        <v>#N/A</v>
      </c>
      <c r="I92" s="82">
        <f t="shared" ref="I92:I120" si="24">IF(LEN(J92)=0,100,LEN(J92))</f>
        <v>100</v>
      </c>
      <c r="J92" s="87" t="str">
        <f t="shared" si="20"/>
        <v/>
      </c>
      <c r="K92" s="216" t="str">
        <f>""</f>
        <v/>
      </c>
      <c r="L92" s="216" t="str">
        <f>""</f>
        <v/>
      </c>
      <c r="M92" s="216" t="str">
        <f>""</f>
        <v/>
      </c>
      <c r="N92" s="216" t="str">
        <f>""</f>
        <v/>
      </c>
      <c r="O92" s="216" t="str">
        <f>""</f>
        <v/>
      </c>
      <c r="P92" s="216" t="str">
        <f t="shared" si="21"/>
        <v/>
      </c>
      <c r="Q92" s="216" t="str">
        <f>""</f>
        <v/>
      </c>
      <c r="R92" s="216" t="str">
        <f>""</f>
        <v/>
      </c>
      <c r="S92" s="216" t="str">
        <f>""</f>
        <v/>
      </c>
      <c r="T92" s="216" t="str">
        <f>""</f>
        <v/>
      </c>
      <c r="U92" s="216" t="str">
        <f>""</f>
        <v/>
      </c>
      <c r="V92" s="216" t="str">
        <f t="shared" si="17"/>
        <v/>
      </c>
      <c r="W92" s="216" t="str">
        <f t="shared" si="22"/>
        <v/>
      </c>
      <c r="X92" s="216" t="str">
        <f t="shared" si="18"/>
        <v/>
      </c>
      <c r="Y92" s="216" t="str">
        <f t="shared" si="19"/>
        <v/>
      </c>
    </row>
    <row r="93" spans="1:25" ht="13.5" customHeight="1" x14ac:dyDescent="0.2">
      <c r="A93" s="151" t="str">
        <f t="shared" si="23"/>
        <v/>
      </c>
      <c r="B93" s="151">
        <f>IF(A93="",-1,IF(Data!$AP$3=2,IFERROR(SUM('Start List'!W93,X93/100,-A93/1000000),IFERROR(SUM(W93,-A93/1000000),0)),IFERROR(SUM(W93,X93/100,Y93/10000,-A93/1000000),IFERROR(SUM(W93,-A93/1000000),0))))</f>
        <v>-1</v>
      </c>
      <c r="C93" s="151">
        <f>IF(A93="",-1,IF(Data!$AP$3=2,IFERROR(SUM('Start List'!W93,X93/100,-A93/1000000),IFERROR(SUM(W93,-A93/1000000),0)),IFERROR(SUM(W93,X93/100,Y93/10000,-A93/1000000),IFERROR(SUM(W93,-A93/1000000),0))))+IF(OR(G93="M",G93="H"),1000,0)</f>
        <v>-1</v>
      </c>
      <c r="D93" s="213"/>
      <c r="E93" s="214"/>
      <c r="F93" s="215"/>
      <c r="G93" s="215"/>
      <c r="H93" s="155" t="e">
        <f>VLOOKUP(E93,Data!$A$1:$B$400,2,FALSE)</f>
        <v>#N/A</v>
      </c>
      <c r="I93" s="82">
        <f t="shared" si="24"/>
        <v>100</v>
      </c>
      <c r="J93" s="87" t="str">
        <f t="shared" si="20"/>
        <v/>
      </c>
      <c r="K93" s="216" t="str">
        <f>""</f>
        <v/>
      </c>
      <c r="L93" s="216" t="str">
        <f>""</f>
        <v/>
      </c>
      <c r="M93" s="216" t="str">
        <f>""</f>
        <v/>
      </c>
      <c r="N93" s="216" t="str">
        <f>""</f>
        <v/>
      </c>
      <c r="O93" s="216" t="str">
        <f>""</f>
        <v/>
      </c>
      <c r="P93" s="216" t="str">
        <f t="shared" si="21"/>
        <v/>
      </c>
      <c r="Q93" s="216" t="str">
        <f>""</f>
        <v/>
      </c>
      <c r="R93" s="216" t="str">
        <f>""</f>
        <v/>
      </c>
      <c r="S93" s="216" t="str">
        <f>""</f>
        <v/>
      </c>
      <c r="T93" s="216" t="str">
        <f>""</f>
        <v/>
      </c>
      <c r="U93" s="216" t="str">
        <f>""</f>
        <v/>
      </c>
      <c r="V93" s="216" t="str">
        <f t="shared" si="17"/>
        <v/>
      </c>
      <c r="W93" s="216" t="str">
        <f t="shared" si="22"/>
        <v/>
      </c>
      <c r="X93" s="216" t="str">
        <f t="shared" si="18"/>
        <v/>
      </c>
      <c r="Y93" s="216" t="str">
        <f t="shared" si="19"/>
        <v/>
      </c>
    </row>
    <row r="94" spans="1:25" ht="13.5" customHeight="1" x14ac:dyDescent="0.2">
      <c r="A94" s="151" t="str">
        <f t="shared" si="23"/>
        <v/>
      </c>
      <c r="B94" s="151">
        <f>IF(A94="",-1,IF(Data!$AP$3=2,IFERROR(SUM('Start List'!W94,X94/100,-A94/1000000),IFERROR(SUM(W94,-A94/1000000),0)),IFERROR(SUM(W94,X94/100,Y94/10000,-A94/1000000),IFERROR(SUM(W94,-A94/1000000),0))))</f>
        <v>-1</v>
      </c>
      <c r="C94" s="151">
        <f>IF(A94="",-1,IF(Data!$AP$3=2,IFERROR(SUM('Start List'!W94,X94/100,-A94/1000000),IFERROR(SUM(W94,-A94/1000000),0)),IFERROR(SUM(W94,X94/100,Y94/10000,-A94/1000000),IFERROR(SUM(W94,-A94/1000000),0))))+IF(OR(G94="M",G94="H"),1000,0)</f>
        <v>-1</v>
      </c>
      <c r="D94" s="213"/>
      <c r="E94" s="214"/>
      <c r="F94" s="215"/>
      <c r="G94" s="215"/>
      <c r="H94" s="155" t="e">
        <f>VLOOKUP(E94,Data!$A$1:$B$400,2,FALSE)</f>
        <v>#N/A</v>
      </c>
      <c r="I94" s="82">
        <f t="shared" si="24"/>
        <v>100</v>
      </c>
      <c r="J94" s="87" t="str">
        <f t="shared" si="20"/>
        <v/>
      </c>
      <c r="K94" s="216" t="str">
        <f>""</f>
        <v/>
      </c>
      <c r="L94" s="216" t="str">
        <f>""</f>
        <v/>
      </c>
      <c r="M94" s="216" t="str">
        <f>""</f>
        <v/>
      </c>
      <c r="N94" s="216" t="str">
        <f>""</f>
        <v/>
      </c>
      <c r="O94" s="216" t="str">
        <f>""</f>
        <v/>
      </c>
      <c r="P94" s="216" t="str">
        <f t="shared" si="21"/>
        <v/>
      </c>
      <c r="Q94" s="216" t="str">
        <f>""</f>
        <v/>
      </c>
      <c r="R94" s="216" t="str">
        <f>""</f>
        <v/>
      </c>
      <c r="S94" s="216" t="str">
        <f>""</f>
        <v/>
      </c>
      <c r="T94" s="216" t="str">
        <f>""</f>
        <v/>
      </c>
      <c r="U94" s="216" t="str">
        <f>""</f>
        <v/>
      </c>
      <c r="V94" s="216" t="str">
        <f t="shared" si="17"/>
        <v/>
      </c>
      <c r="W94" s="216" t="str">
        <f t="shared" si="22"/>
        <v/>
      </c>
      <c r="X94" s="216" t="str">
        <f t="shared" si="18"/>
        <v/>
      </c>
      <c r="Y94" s="216" t="str">
        <f t="shared" si="19"/>
        <v/>
      </c>
    </row>
    <row r="95" spans="1:25" ht="13.5" customHeight="1" x14ac:dyDescent="0.2">
      <c r="A95" s="151" t="str">
        <f t="shared" si="23"/>
        <v/>
      </c>
      <c r="B95" s="151">
        <f>IF(A95="",-1,IF(Data!$AP$3=2,IFERROR(SUM('Start List'!W95,X95/100,-A95/1000000),IFERROR(SUM(W95,-A95/1000000),0)),IFERROR(SUM(W95,X95/100,Y95/10000,-A95/1000000),IFERROR(SUM(W95,-A95/1000000),0))))</f>
        <v>-1</v>
      </c>
      <c r="C95" s="151">
        <f>IF(A95="",-1,IF(Data!$AP$3=2,IFERROR(SUM('Start List'!W95,X95/100,-A95/1000000),IFERROR(SUM(W95,-A95/1000000),0)),IFERROR(SUM(W95,X95/100,Y95/10000,-A95/1000000),IFERROR(SUM(W95,-A95/1000000),0))))+IF(OR(G95="M",G95="H"),1000,0)</f>
        <v>-1</v>
      </c>
      <c r="D95" s="213"/>
      <c r="E95" s="214"/>
      <c r="F95" s="215"/>
      <c r="G95" s="215"/>
      <c r="H95" s="155" t="e">
        <f>VLOOKUP(E95,Data!$A$1:$B$400,2,FALSE)</f>
        <v>#N/A</v>
      </c>
      <c r="I95" s="82">
        <f t="shared" si="24"/>
        <v>100</v>
      </c>
      <c r="J95" s="87" t="str">
        <f t="shared" si="20"/>
        <v/>
      </c>
      <c r="K95" s="216" t="str">
        <f>""</f>
        <v/>
      </c>
      <c r="L95" s="216" t="str">
        <f>""</f>
        <v/>
      </c>
      <c r="M95" s="216" t="str">
        <f>""</f>
        <v/>
      </c>
      <c r="N95" s="216" t="str">
        <f>""</f>
        <v/>
      </c>
      <c r="O95" s="216" t="str">
        <f>""</f>
        <v/>
      </c>
      <c r="P95" s="216" t="str">
        <f t="shared" si="21"/>
        <v/>
      </c>
      <c r="Q95" s="216" t="str">
        <f>""</f>
        <v/>
      </c>
      <c r="R95" s="216" t="str">
        <f>""</f>
        <v/>
      </c>
      <c r="S95" s="216" t="str">
        <f>""</f>
        <v/>
      </c>
      <c r="T95" s="216" t="str">
        <f>""</f>
        <v/>
      </c>
      <c r="U95" s="216" t="str">
        <f>""</f>
        <v/>
      </c>
      <c r="V95" s="216" t="str">
        <f t="shared" si="17"/>
        <v/>
      </c>
      <c r="W95" s="216" t="str">
        <f t="shared" si="22"/>
        <v/>
      </c>
      <c r="X95" s="216" t="str">
        <f t="shared" si="18"/>
        <v/>
      </c>
      <c r="Y95" s="216" t="str">
        <f t="shared" si="19"/>
        <v/>
      </c>
    </row>
    <row r="96" spans="1:25" ht="13.5" customHeight="1" x14ac:dyDescent="0.2">
      <c r="A96" s="151" t="str">
        <f t="shared" si="23"/>
        <v/>
      </c>
      <c r="B96" s="151">
        <f>IF(A96="",-1,IF(Data!$AP$3=2,IFERROR(SUM('Start List'!W96,X96/100,-A96/1000000),IFERROR(SUM(W96,-A96/1000000),0)),IFERROR(SUM(W96,X96/100,Y96/10000,-A96/1000000),IFERROR(SUM(W96,-A96/1000000),0))))</f>
        <v>-1</v>
      </c>
      <c r="C96" s="151">
        <f>IF(A96="",-1,IF(Data!$AP$3=2,IFERROR(SUM('Start List'!W96,X96/100,-A96/1000000),IFERROR(SUM(W96,-A96/1000000),0)),IFERROR(SUM(W96,X96/100,Y96/10000,-A96/1000000),IFERROR(SUM(W96,-A96/1000000),0))))+IF(OR(G96="M",G96="H"),1000,0)</f>
        <v>-1</v>
      </c>
      <c r="D96" s="213"/>
      <c r="E96" s="214"/>
      <c r="F96" s="215"/>
      <c r="G96" s="215"/>
      <c r="H96" s="155" t="e">
        <f>VLOOKUP(E96,Data!$A$1:$B$400,2,FALSE)</f>
        <v>#N/A</v>
      </c>
      <c r="I96" s="82">
        <f t="shared" si="24"/>
        <v>100</v>
      </c>
      <c r="J96" s="87" t="str">
        <f t="shared" si="20"/>
        <v/>
      </c>
      <c r="K96" s="216" t="str">
        <f>""</f>
        <v/>
      </c>
      <c r="L96" s="216" t="str">
        <f>""</f>
        <v/>
      </c>
      <c r="M96" s="216" t="str">
        <f>""</f>
        <v/>
      </c>
      <c r="N96" s="216" t="str">
        <f>""</f>
        <v/>
      </c>
      <c r="O96" s="216" t="str">
        <f>""</f>
        <v/>
      </c>
      <c r="P96" s="216" t="str">
        <f t="shared" si="21"/>
        <v/>
      </c>
      <c r="Q96" s="216" t="str">
        <f>""</f>
        <v/>
      </c>
      <c r="R96" s="216" t="str">
        <f>""</f>
        <v/>
      </c>
      <c r="S96" s="216" t="str">
        <f>""</f>
        <v/>
      </c>
      <c r="T96" s="216" t="str">
        <f>""</f>
        <v/>
      </c>
      <c r="U96" s="216" t="str">
        <f>""</f>
        <v/>
      </c>
      <c r="V96" s="216" t="str">
        <f t="shared" si="17"/>
        <v/>
      </c>
      <c r="W96" s="216" t="str">
        <f t="shared" si="22"/>
        <v/>
      </c>
      <c r="X96" s="216" t="str">
        <f t="shared" si="18"/>
        <v/>
      </c>
      <c r="Y96" s="216" t="str">
        <f t="shared" si="19"/>
        <v/>
      </c>
    </row>
    <row r="97" spans="1:25" ht="13.5" customHeight="1" x14ac:dyDescent="0.2">
      <c r="A97" s="151" t="str">
        <f t="shared" si="23"/>
        <v/>
      </c>
      <c r="B97" s="151">
        <f>IF(A97="",-1,IF(Data!$AP$3=2,IFERROR(SUM('Start List'!W97,X97/100,-A97/1000000),IFERROR(SUM(W97,-A97/1000000),0)),IFERROR(SUM(W97,X97/100,Y97/10000,-A97/1000000),IFERROR(SUM(W97,-A97/1000000),0))))</f>
        <v>-1</v>
      </c>
      <c r="C97" s="151">
        <f>IF(A97="",-1,IF(Data!$AP$3=2,IFERROR(SUM('Start List'!W97,X97/100,-A97/1000000),IFERROR(SUM(W97,-A97/1000000),0)),IFERROR(SUM(W97,X97/100,Y97/10000,-A97/1000000),IFERROR(SUM(W97,-A97/1000000),0))))+IF(OR(G97="M",G97="H"),1000,0)</f>
        <v>-1</v>
      </c>
      <c r="D97" s="213"/>
      <c r="E97" s="214"/>
      <c r="F97" s="215"/>
      <c r="G97" s="215"/>
      <c r="H97" s="155" t="e">
        <f>VLOOKUP(E97,Data!$A$1:$B$400,2,FALSE)</f>
        <v>#N/A</v>
      </c>
      <c r="I97" s="82">
        <f t="shared" si="24"/>
        <v>100</v>
      </c>
      <c r="J97" s="87" t="str">
        <f t="shared" si="20"/>
        <v/>
      </c>
      <c r="K97" s="216" t="str">
        <f>""</f>
        <v/>
      </c>
      <c r="L97" s="216" t="str">
        <f>""</f>
        <v/>
      </c>
      <c r="M97" s="216" t="str">
        <f>""</f>
        <v/>
      </c>
      <c r="N97" s="216" t="str">
        <f>""</f>
        <v/>
      </c>
      <c r="O97" s="216" t="str">
        <f>""</f>
        <v/>
      </c>
      <c r="P97" s="216" t="str">
        <f t="shared" si="21"/>
        <v/>
      </c>
      <c r="Q97" s="216" t="str">
        <f>""</f>
        <v/>
      </c>
      <c r="R97" s="216" t="str">
        <f>""</f>
        <v/>
      </c>
      <c r="S97" s="216" t="str">
        <f>""</f>
        <v/>
      </c>
      <c r="T97" s="216" t="str">
        <f>""</f>
        <v/>
      </c>
      <c r="U97" s="216" t="str">
        <f>""</f>
        <v/>
      </c>
      <c r="V97" s="216" t="str">
        <f t="shared" si="17"/>
        <v/>
      </c>
      <c r="W97" s="216" t="str">
        <f t="shared" si="22"/>
        <v/>
      </c>
      <c r="X97" s="216" t="str">
        <f t="shared" si="18"/>
        <v/>
      </c>
      <c r="Y97" s="216" t="str">
        <f t="shared" si="19"/>
        <v/>
      </c>
    </row>
    <row r="98" spans="1:25" ht="13.5" customHeight="1" x14ac:dyDescent="0.2">
      <c r="A98" s="151" t="str">
        <f t="shared" si="23"/>
        <v/>
      </c>
      <c r="B98" s="151">
        <f>IF(A98="",-1,IF(Data!$AP$3=2,IFERROR(SUM('Start List'!W98,X98/100,-A98/1000000),IFERROR(SUM(W98,-A98/1000000),0)),IFERROR(SUM(W98,X98/100,Y98/10000,-A98/1000000),IFERROR(SUM(W98,-A98/1000000),0))))</f>
        <v>-1</v>
      </c>
      <c r="C98" s="151">
        <f>IF(A98="",-1,IF(Data!$AP$3=2,IFERROR(SUM('Start List'!W98,X98/100,-A98/1000000),IFERROR(SUM(W98,-A98/1000000),0)),IFERROR(SUM(W98,X98/100,Y98/10000,-A98/1000000),IFERROR(SUM(W98,-A98/1000000),0))))+IF(OR(G98="M",G98="H"),1000,0)</f>
        <v>-1</v>
      </c>
      <c r="D98" s="213"/>
      <c r="E98" s="214"/>
      <c r="F98" s="215"/>
      <c r="G98" s="215"/>
      <c r="H98" s="155" t="e">
        <f>VLOOKUP(E98,Data!$A$1:$B$400,2,FALSE)</f>
        <v>#N/A</v>
      </c>
      <c r="I98" s="82">
        <f t="shared" si="24"/>
        <v>100</v>
      </c>
      <c r="J98" s="87" t="str">
        <f t="shared" si="20"/>
        <v/>
      </c>
      <c r="K98" s="216" t="str">
        <f>""</f>
        <v/>
      </c>
      <c r="L98" s="216" t="str">
        <f>""</f>
        <v/>
      </c>
      <c r="M98" s="216" t="str">
        <f>""</f>
        <v/>
      </c>
      <c r="N98" s="216" t="str">
        <f>""</f>
        <v/>
      </c>
      <c r="O98" s="216" t="str">
        <f>""</f>
        <v/>
      </c>
      <c r="P98" s="216" t="str">
        <f t="shared" si="21"/>
        <v/>
      </c>
      <c r="Q98" s="216" t="str">
        <f>""</f>
        <v/>
      </c>
      <c r="R98" s="216" t="str">
        <f>""</f>
        <v/>
      </c>
      <c r="S98" s="216" t="str">
        <f>""</f>
        <v/>
      </c>
      <c r="T98" s="216" t="str">
        <f>""</f>
        <v/>
      </c>
      <c r="U98" s="216" t="str">
        <f>""</f>
        <v/>
      </c>
      <c r="V98" s="216" t="str">
        <f t="shared" si="17"/>
        <v/>
      </c>
      <c r="W98" s="216" t="str">
        <f t="shared" si="22"/>
        <v/>
      </c>
      <c r="X98" s="216" t="str">
        <f t="shared" si="18"/>
        <v/>
      </c>
      <c r="Y98" s="216" t="str">
        <f t="shared" si="19"/>
        <v/>
      </c>
    </row>
    <row r="99" spans="1:25" ht="13.5" customHeight="1" x14ac:dyDescent="0.2">
      <c r="A99" s="151" t="str">
        <f t="shared" si="23"/>
        <v/>
      </c>
      <c r="B99" s="151">
        <f>IF(A99="",-1,IF(Data!$AP$3=2,IFERROR(SUM('Start List'!W99,X99/100,-A99/1000000),IFERROR(SUM(W99,-A99/1000000),0)),IFERROR(SUM(W99,X99/100,Y99/10000,-A99/1000000),IFERROR(SUM(W99,-A99/1000000),0))))</f>
        <v>-1</v>
      </c>
      <c r="C99" s="151">
        <f>IF(A99="",-1,IF(Data!$AP$3=2,IFERROR(SUM('Start List'!W99,X99/100,-A99/1000000),IFERROR(SUM(W99,-A99/1000000),0)),IFERROR(SUM(W99,X99/100,Y99/10000,-A99/1000000),IFERROR(SUM(W99,-A99/1000000),0))))+IF(OR(G99="M",G99="H"),1000,0)</f>
        <v>-1</v>
      </c>
      <c r="D99" s="213"/>
      <c r="E99" s="214"/>
      <c r="F99" s="215"/>
      <c r="G99" s="215"/>
      <c r="H99" s="155" t="e">
        <f>VLOOKUP(E99,Data!$A$1:$B$400,2,FALSE)</f>
        <v>#N/A</v>
      </c>
      <c r="I99" s="82">
        <f t="shared" si="24"/>
        <v>100</v>
      </c>
      <c r="J99" s="87" t="str">
        <f t="shared" si="20"/>
        <v/>
      </c>
      <c r="K99" s="216" t="str">
        <f>""</f>
        <v/>
      </c>
      <c r="L99" s="216" t="str">
        <f>""</f>
        <v/>
      </c>
      <c r="M99" s="216" t="str">
        <f>""</f>
        <v/>
      </c>
      <c r="N99" s="216" t="str">
        <f>""</f>
        <v/>
      </c>
      <c r="O99" s="216" t="str">
        <f>""</f>
        <v/>
      </c>
      <c r="P99" s="216" t="str">
        <f t="shared" si="21"/>
        <v/>
      </c>
      <c r="Q99" s="216" t="str">
        <f>""</f>
        <v/>
      </c>
      <c r="R99" s="216" t="str">
        <f>""</f>
        <v/>
      </c>
      <c r="S99" s="216" t="str">
        <f>""</f>
        <v/>
      </c>
      <c r="T99" s="216" t="str">
        <f>""</f>
        <v/>
      </c>
      <c r="U99" s="216" t="str">
        <f>""</f>
        <v/>
      </c>
      <c r="V99" s="216" t="str">
        <f t="shared" si="17"/>
        <v/>
      </c>
      <c r="W99" s="216" t="str">
        <f t="shared" si="22"/>
        <v/>
      </c>
      <c r="X99" s="216" t="str">
        <f t="shared" si="18"/>
        <v/>
      </c>
      <c r="Y99" s="216" t="str">
        <f t="shared" si="19"/>
        <v/>
      </c>
    </row>
    <row r="100" spans="1:25" ht="13.5" customHeight="1" x14ac:dyDescent="0.2">
      <c r="A100" s="151" t="str">
        <f t="shared" si="23"/>
        <v/>
      </c>
      <c r="B100" s="151">
        <f>IF(A100="",-1,IF(Data!$AP$3=2,IFERROR(SUM('Start List'!W100,X100/100,-A100/1000000),IFERROR(SUM(W100,-A100/1000000),0)),IFERROR(SUM(W100,X100/100,Y100/10000,-A100/1000000),IFERROR(SUM(W100,-A100/1000000),0))))</f>
        <v>-1</v>
      </c>
      <c r="C100" s="151">
        <f>IF(A100="",-1,IF(Data!$AP$3=2,IFERROR(SUM('Start List'!W100,X100/100,-A100/1000000),IFERROR(SUM(W100,-A100/1000000),0)),IFERROR(SUM(W100,X100/100,Y100/10000,-A100/1000000),IFERROR(SUM(W100,-A100/1000000),0))))+IF(OR(G100="M",G100="H"),1000,0)</f>
        <v>-1</v>
      </c>
      <c r="D100" s="213"/>
      <c r="E100" s="214"/>
      <c r="F100" s="215"/>
      <c r="G100" s="215"/>
      <c r="H100" s="155" t="e">
        <f>VLOOKUP(E100,Data!$A$1:$B$400,2,FALSE)</f>
        <v>#N/A</v>
      </c>
      <c r="I100" s="82">
        <f t="shared" si="24"/>
        <v>100</v>
      </c>
      <c r="J100" s="87" t="str">
        <f t="shared" si="20"/>
        <v/>
      </c>
      <c r="K100" s="216" t="str">
        <f>""</f>
        <v/>
      </c>
      <c r="L100" s="216" t="str">
        <f>""</f>
        <v/>
      </c>
      <c r="M100" s="216" t="str">
        <f>""</f>
        <v/>
      </c>
      <c r="N100" s="216" t="str">
        <f>""</f>
        <v/>
      </c>
      <c r="O100" s="216" t="str">
        <f>""</f>
        <v/>
      </c>
      <c r="P100" s="216" t="str">
        <f t="shared" si="21"/>
        <v/>
      </c>
      <c r="Q100" s="216" t="str">
        <f>""</f>
        <v/>
      </c>
      <c r="R100" s="216" t="str">
        <f>""</f>
        <v/>
      </c>
      <c r="S100" s="216" t="str">
        <f>""</f>
        <v/>
      </c>
      <c r="T100" s="216" t="str">
        <f>""</f>
        <v/>
      </c>
      <c r="U100" s="216" t="str">
        <f>""</f>
        <v/>
      </c>
      <c r="V100" s="216" t="str">
        <f t="shared" si="17"/>
        <v/>
      </c>
      <c r="W100" s="216" t="str">
        <f t="shared" si="22"/>
        <v/>
      </c>
      <c r="X100" s="216" t="str">
        <f t="shared" si="18"/>
        <v/>
      </c>
      <c r="Y100" s="216" t="str">
        <f t="shared" si="19"/>
        <v/>
      </c>
    </row>
    <row r="101" spans="1:25" ht="13.5" customHeight="1" x14ac:dyDescent="0.2">
      <c r="A101" s="151" t="str">
        <f t="shared" si="23"/>
        <v/>
      </c>
      <c r="B101" s="151">
        <f>IF(A101="",-1,IF(Data!$AP$3=2,IFERROR(SUM('Start List'!W101,X101/100,-A101/1000000),IFERROR(SUM(W101,-A101/1000000),0)),IFERROR(SUM(W101,X101/100,Y101/10000,-A101/1000000),IFERROR(SUM(W101,-A101/1000000),0))))</f>
        <v>-1</v>
      </c>
      <c r="C101" s="151">
        <f>IF(A101="",-1,IF(Data!$AP$3=2,IFERROR(SUM('Start List'!W101,X101/100,-A101/1000000),IFERROR(SUM(W101,-A101/1000000),0)),IFERROR(SUM(W101,X101/100,Y101/10000,-A101/1000000),IFERROR(SUM(W101,-A101/1000000),0))))+IF(OR(G101="M",G101="H"),1000,0)</f>
        <v>-1</v>
      </c>
      <c r="D101" s="213"/>
      <c r="E101" s="214"/>
      <c r="F101" s="215"/>
      <c r="G101" s="215"/>
      <c r="H101" s="155" t="e">
        <f>VLOOKUP(E101,Data!$A$1:$B$400,2,FALSE)</f>
        <v>#N/A</v>
      </c>
      <c r="I101" s="82">
        <f t="shared" si="24"/>
        <v>100</v>
      </c>
      <c r="J101" s="87" t="str">
        <f t="shared" si="20"/>
        <v/>
      </c>
      <c r="K101" s="216" t="str">
        <f>""</f>
        <v/>
      </c>
      <c r="L101" s="216" t="str">
        <f>""</f>
        <v/>
      </c>
      <c r="M101" s="216" t="str">
        <f>""</f>
        <v/>
      </c>
      <c r="N101" s="216" t="str">
        <f>""</f>
        <v/>
      </c>
      <c r="O101" s="216" t="str">
        <f>""</f>
        <v/>
      </c>
      <c r="P101" s="216" t="str">
        <f t="shared" si="21"/>
        <v/>
      </c>
      <c r="Q101" s="216" t="str">
        <f>""</f>
        <v/>
      </c>
      <c r="R101" s="216" t="str">
        <f>""</f>
        <v/>
      </c>
      <c r="S101" s="216" t="str">
        <f>""</f>
        <v/>
      </c>
      <c r="T101" s="216" t="str">
        <f>""</f>
        <v/>
      </c>
      <c r="U101" s="216" t="str">
        <f>""</f>
        <v/>
      </c>
      <c r="V101" s="216" t="str">
        <f t="shared" si="17"/>
        <v/>
      </c>
      <c r="W101" s="216" t="str">
        <f t="shared" si="22"/>
        <v/>
      </c>
      <c r="X101" s="216" t="str">
        <f t="shared" si="18"/>
        <v/>
      </c>
      <c r="Y101" s="216" t="str">
        <f t="shared" si="19"/>
        <v/>
      </c>
    </row>
    <row r="102" spans="1:25" ht="13.5" customHeight="1" x14ac:dyDescent="0.2">
      <c r="A102" s="151" t="str">
        <f t="shared" si="23"/>
        <v/>
      </c>
      <c r="B102" s="151">
        <f>IF(A102="",-1,IF(Data!$AP$3=2,IFERROR(SUM('Start List'!W102,X102/100,-A102/1000000),IFERROR(SUM(W102,-A102/1000000),0)),IFERROR(SUM(W102,X102/100,Y102/10000,-A102/1000000),IFERROR(SUM(W102,-A102/1000000),0))))</f>
        <v>-1</v>
      </c>
      <c r="C102" s="151">
        <f>IF(A102="",-1,IF(Data!$AP$3=2,IFERROR(SUM('Start List'!W102,X102/100,-A102/1000000),IFERROR(SUM(W102,-A102/1000000),0)),IFERROR(SUM(W102,X102/100,Y102/10000,-A102/1000000),IFERROR(SUM(W102,-A102/1000000),0))))+IF(OR(G102="M",G102="H"),1000,0)</f>
        <v>-1</v>
      </c>
      <c r="D102" s="213"/>
      <c r="E102" s="214"/>
      <c r="F102" s="215"/>
      <c r="G102" s="215"/>
      <c r="H102" s="155" t="e">
        <f>VLOOKUP(E102,Data!$A$1:$B$400,2,FALSE)</f>
        <v>#N/A</v>
      </c>
      <c r="I102" s="82">
        <f t="shared" si="24"/>
        <v>100</v>
      </c>
      <c r="J102" s="87" t="str">
        <f t="shared" si="20"/>
        <v/>
      </c>
      <c r="K102" s="216" t="str">
        <f>""</f>
        <v/>
      </c>
      <c r="L102" s="216" t="str">
        <f>""</f>
        <v/>
      </c>
      <c r="M102" s="216" t="str">
        <f>""</f>
        <v/>
      </c>
      <c r="N102" s="216" t="str">
        <f>""</f>
        <v/>
      </c>
      <c r="O102" s="216" t="str">
        <f>""</f>
        <v/>
      </c>
      <c r="P102" s="216" t="str">
        <f t="shared" si="21"/>
        <v/>
      </c>
      <c r="Q102" s="216" t="str">
        <f>""</f>
        <v/>
      </c>
      <c r="R102" s="216" t="str">
        <f>""</f>
        <v/>
      </c>
      <c r="S102" s="216" t="str">
        <f>""</f>
        <v/>
      </c>
      <c r="T102" s="216" t="str">
        <f>""</f>
        <v/>
      </c>
      <c r="U102" s="216" t="str">
        <f>""</f>
        <v/>
      </c>
      <c r="V102" s="216" t="str">
        <f t="shared" si="17"/>
        <v/>
      </c>
      <c r="W102" s="216" t="str">
        <f t="shared" si="22"/>
        <v/>
      </c>
      <c r="X102" s="216" t="str">
        <f t="shared" si="18"/>
        <v/>
      </c>
      <c r="Y102" s="216" t="str">
        <f t="shared" si="19"/>
        <v/>
      </c>
    </row>
    <row r="103" spans="1:25" ht="13.5" customHeight="1" x14ac:dyDescent="0.2">
      <c r="A103" s="151" t="str">
        <f t="shared" si="23"/>
        <v/>
      </c>
      <c r="B103" s="151">
        <f>IF(A103="",-1,IF(Data!$AP$3=2,IFERROR(SUM('Start List'!W103,X103/100,-A103/1000000),IFERROR(SUM(W103,-A103/1000000),0)),IFERROR(SUM(W103,X103/100,Y103/10000,-A103/1000000),IFERROR(SUM(W103,-A103/1000000),0))))</f>
        <v>-1</v>
      </c>
      <c r="C103" s="151">
        <f>IF(A103="",-1,IF(Data!$AP$3=2,IFERROR(SUM('Start List'!W103,X103/100,-A103/1000000),IFERROR(SUM(W103,-A103/1000000),0)),IFERROR(SUM(W103,X103/100,Y103/10000,-A103/1000000),IFERROR(SUM(W103,-A103/1000000),0))))+IF(OR(G103="M",G103="H"),1000,0)</f>
        <v>-1</v>
      </c>
      <c r="D103" s="213"/>
      <c r="E103" s="214"/>
      <c r="F103" s="215"/>
      <c r="G103" s="215"/>
      <c r="H103" s="155" t="e">
        <f>VLOOKUP(E103,Data!$A$1:$B$400,2,FALSE)</f>
        <v>#N/A</v>
      </c>
      <c r="I103" s="82">
        <f t="shared" si="24"/>
        <v>100</v>
      </c>
      <c r="J103" s="87" t="str">
        <f t="shared" si="20"/>
        <v/>
      </c>
      <c r="K103" s="216" t="str">
        <f>""</f>
        <v/>
      </c>
      <c r="L103" s="216" t="str">
        <f>""</f>
        <v/>
      </c>
      <c r="M103" s="216" t="str">
        <f>""</f>
        <v/>
      </c>
      <c r="N103" s="216" t="str">
        <f>""</f>
        <v/>
      </c>
      <c r="O103" s="216" t="str">
        <f>""</f>
        <v/>
      </c>
      <c r="P103" s="216" t="str">
        <f t="shared" si="21"/>
        <v/>
      </c>
      <c r="Q103" s="216" t="str">
        <f>""</f>
        <v/>
      </c>
      <c r="R103" s="216" t="str">
        <f>""</f>
        <v/>
      </c>
      <c r="S103" s="216" t="str">
        <f>""</f>
        <v/>
      </c>
      <c r="T103" s="216" t="str">
        <f>""</f>
        <v/>
      </c>
      <c r="U103" s="216" t="str">
        <f>""</f>
        <v/>
      </c>
      <c r="V103" s="216" t="str">
        <f t="shared" si="17"/>
        <v/>
      </c>
      <c r="W103" s="216" t="str">
        <f t="shared" si="22"/>
        <v/>
      </c>
      <c r="X103" s="216" t="str">
        <f t="shared" si="18"/>
        <v/>
      </c>
      <c r="Y103" s="216" t="str">
        <f t="shared" si="19"/>
        <v/>
      </c>
    </row>
    <row r="104" spans="1:25" ht="13.5" customHeight="1" x14ac:dyDescent="0.2">
      <c r="A104" s="151" t="str">
        <f t="shared" si="23"/>
        <v/>
      </c>
      <c r="B104" s="151">
        <f>IF(A104="",-1,IF(Data!$AP$3=2,IFERROR(SUM('Start List'!W104,X104/100,-A104/1000000),IFERROR(SUM(W104,-A104/1000000),0)),IFERROR(SUM(W104,X104/100,Y104/10000,-A104/1000000),IFERROR(SUM(W104,-A104/1000000),0))))</f>
        <v>-1</v>
      </c>
      <c r="C104" s="151">
        <f>IF(A104="",-1,IF(Data!$AP$3=2,IFERROR(SUM('Start List'!W104,X104/100,-A104/1000000),IFERROR(SUM(W104,-A104/1000000),0)),IFERROR(SUM(W104,X104/100,Y104/10000,-A104/1000000),IFERROR(SUM(W104,-A104/1000000),0))))+IF(OR(G104="M",G104="H"),1000,0)</f>
        <v>-1</v>
      </c>
      <c r="D104" s="213"/>
      <c r="E104" s="214"/>
      <c r="F104" s="215"/>
      <c r="G104" s="215"/>
      <c r="H104" s="155" t="e">
        <f>VLOOKUP(E104,Data!$A$1:$B$400,2,FALSE)</f>
        <v>#N/A</v>
      </c>
      <c r="I104" s="82">
        <f t="shared" si="24"/>
        <v>100</v>
      </c>
      <c r="J104" s="87" t="str">
        <f t="shared" si="20"/>
        <v/>
      </c>
      <c r="K104" s="216" t="str">
        <f>""</f>
        <v/>
      </c>
      <c r="L104" s="216" t="str">
        <f>""</f>
        <v/>
      </c>
      <c r="M104" s="216" t="str">
        <f>""</f>
        <v/>
      </c>
      <c r="N104" s="216" t="str">
        <f>""</f>
        <v/>
      </c>
      <c r="O104" s="216" t="str">
        <f>""</f>
        <v/>
      </c>
      <c r="P104" s="216" t="str">
        <f t="shared" si="21"/>
        <v/>
      </c>
      <c r="Q104" s="216" t="str">
        <f>""</f>
        <v/>
      </c>
      <c r="R104" s="216" t="str">
        <f>""</f>
        <v/>
      </c>
      <c r="S104" s="216" t="str">
        <f>""</f>
        <v/>
      </c>
      <c r="T104" s="216" t="str">
        <f>""</f>
        <v/>
      </c>
      <c r="U104" s="216" t="str">
        <f>""</f>
        <v/>
      </c>
      <c r="V104" s="216" t="str">
        <f t="shared" si="17"/>
        <v/>
      </c>
      <c r="W104" s="216" t="str">
        <f t="shared" si="22"/>
        <v/>
      </c>
      <c r="X104" s="216" t="str">
        <f t="shared" si="18"/>
        <v/>
      </c>
      <c r="Y104" s="216" t="str">
        <f t="shared" si="19"/>
        <v/>
      </c>
    </row>
    <row r="105" spans="1:25" ht="13.5" customHeight="1" x14ac:dyDescent="0.2">
      <c r="A105" s="151" t="str">
        <f t="shared" si="23"/>
        <v/>
      </c>
      <c r="B105" s="151">
        <f>IF(A105="",-1,IF(Data!$AP$3=2,IFERROR(SUM('Start List'!W105,X105/100,-A105/1000000),IFERROR(SUM(W105,-A105/1000000),0)),IFERROR(SUM(W105,X105/100,Y105/10000,-A105/1000000),IFERROR(SUM(W105,-A105/1000000),0))))</f>
        <v>-1</v>
      </c>
      <c r="C105" s="151">
        <f>IF(A105="",-1,IF(Data!$AP$3=2,IFERROR(SUM('Start List'!W105,X105/100,-A105/1000000),IFERROR(SUM(W105,-A105/1000000),0)),IFERROR(SUM(W105,X105/100,Y105/10000,-A105/1000000),IFERROR(SUM(W105,-A105/1000000),0))))+IF(OR(G105="M",G105="H"),1000,0)</f>
        <v>-1</v>
      </c>
      <c r="D105" s="213"/>
      <c r="E105" s="214"/>
      <c r="F105" s="215"/>
      <c r="G105" s="215"/>
      <c r="H105" s="155" t="e">
        <f>VLOOKUP(E105,Data!$A$1:$B$400,2,FALSE)</f>
        <v>#N/A</v>
      </c>
      <c r="I105" s="82">
        <f t="shared" si="24"/>
        <v>100</v>
      </c>
      <c r="J105" s="87" t="str">
        <f t="shared" si="20"/>
        <v/>
      </c>
      <c r="K105" s="216" t="str">
        <f>""</f>
        <v/>
      </c>
      <c r="L105" s="216" t="str">
        <f>""</f>
        <v/>
      </c>
      <c r="M105" s="216" t="str">
        <f>""</f>
        <v/>
      </c>
      <c r="N105" s="216" t="str">
        <f>""</f>
        <v/>
      </c>
      <c r="O105" s="216" t="str">
        <f>""</f>
        <v/>
      </c>
      <c r="P105" s="216" t="str">
        <f t="shared" si="21"/>
        <v/>
      </c>
      <c r="Q105" s="216" t="str">
        <f>""</f>
        <v/>
      </c>
      <c r="R105" s="216" t="str">
        <f>""</f>
        <v/>
      </c>
      <c r="S105" s="216" t="str">
        <f>""</f>
        <v/>
      </c>
      <c r="T105" s="216" t="str">
        <f>""</f>
        <v/>
      </c>
      <c r="U105" s="216" t="str">
        <f>""</f>
        <v/>
      </c>
      <c r="V105" s="216" t="str">
        <f t="shared" si="17"/>
        <v/>
      </c>
      <c r="W105" s="216" t="str">
        <f t="shared" si="22"/>
        <v/>
      </c>
      <c r="X105" s="216" t="str">
        <f t="shared" si="18"/>
        <v/>
      </c>
      <c r="Y105" s="216" t="str">
        <f t="shared" si="19"/>
        <v/>
      </c>
    </row>
    <row r="106" spans="1:25" ht="13.5" customHeight="1" x14ac:dyDescent="0.2">
      <c r="A106" s="151" t="str">
        <f t="shared" si="23"/>
        <v/>
      </c>
      <c r="B106" s="151">
        <f>IF(A106="",-1,IF(Data!$AP$3=2,IFERROR(SUM('Start List'!W106,X106/100,-A106/1000000),IFERROR(SUM(W106,-A106/1000000),0)),IFERROR(SUM(W106,X106/100,Y106/10000,-A106/1000000),IFERROR(SUM(W106,-A106/1000000),0))))</f>
        <v>-1</v>
      </c>
      <c r="C106" s="151">
        <f>IF(A106="",-1,IF(Data!$AP$3=2,IFERROR(SUM('Start List'!W106,X106/100,-A106/1000000),IFERROR(SUM(W106,-A106/1000000),0)),IFERROR(SUM(W106,X106/100,Y106/10000,-A106/1000000),IFERROR(SUM(W106,-A106/1000000),0))))+IF(OR(G106="M",G106="H"),1000,0)</f>
        <v>-1</v>
      </c>
      <c r="D106" s="213"/>
      <c r="E106" s="214"/>
      <c r="F106" s="215"/>
      <c r="G106" s="215"/>
      <c r="H106" s="155" t="e">
        <f>VLOOKUP(E106,Data!$A$1:$B$400,2,FALSE)</f>
        <v>#N/A</v>
      </c>
      <c r="I106" s="82">
        <f t="shared" si="24"/>
        <v>100</v>
      </c>
      <c r="J106" s="87" t="str">
        <f t="shared" si="20"/>
        <v/>
      </c>
      <c r="K106" s="216" t="str">
        <f>""</f>
        <v/>
      </c>
      <c r="L106" s="216" t="str">
        <f>""</f>
        <v/>
      </c>
      <c r="M106" s="216" t="str">
        <f>""</f>
        <v/>
      </c>
      <c r="N106" s="216" t="str">
        <f>""</f>
        <v/>
      </c>
      <c r="O106" s="216" t="str">
        <f>""</f>
        <v/>
      </c>
      <c r="P106" s="216" t="str">
        <f t="shared" si="21"/>
        <v/>
      </c>
      <c r="Q106" s="216" t="str">
        <f>""</f>
        <v/>
      </c>
      <c r="R106" s="216" t="str">
        <f>""</f>
        <v/>
      </c>
      <c r="S106" s="216" t="str">
        <f>""</f>
        <v/>
      </c>
      <c r="T106" s="216" t="str">
        <f>""</f>
        <v/>
      </c>
      <c r="U106" s="216" t="str">
        <f>""</f>
        <v/>
      </c>
      <c r="V106" s="216" t="str">
        <f t="shared" si="17"/>
        <v/>
      </c>
      <c r="W106" s="216" t="str">
        <f t="shared" si="22"/>
        <v/>
      </c>
      <c r="X106" s="216" t="str">
        <f t="shared" si="18"/>
        <v/>
      </c>
      <c r="Y106" s="216" t="str">
        <f t="shared" si="19"/>
        <v/>
      </c>
    </row>
    <row r="107" spans="1:25" ht="13.5" customHeight="1" x14ac:dyDescent="0.2">
      <c r="A107" s="151" t="str">
        <f t="shared" si="23"/>
        <v/>
      </c>
      <c r="B107" s="151">
        <f>IF(A107="",-1,IF(Data!$AP$3=2,IFERROR(SUM('Start List'!W107,X107/100,-A107/1000000),IFERROR(SUM(W107,-A107/1000000),0)),IFERROR(SUM(W107,X107/100,Y107/10000,-A107/1000000),IFERROR(SUM(W107,-A107/1000000),0))))</f>
        <v>-1</v>
      </c>
      <c r="C107" s="151">
        <f>IF(A107="",-1,IF(Data!$AP$3=2,IFERROR(SUM('Start List'!W107,X107/100,-A107/1000000),IFERROR(SUM(W107,-A107/1000000),0)),IFERROR(SUM(W107,X107/100,Y107/10000,-A107/1000000),IFERROR(SUM(W107,-A107/1000000),0))))+IF(OR(G107="M",G107="H"),1000,0)</f>
        <v>-1</v>
      </c>
      <c r="D107" s="213"/>
      <c r="E107" s="214"/>
      <c r="F107" s="215"/>
      <c r="G107" s="215"/>
      <c r="H107" s="155" t="e">
        <f>VLOOKUP(E107,Data!$A$1:$B$400,2,FALSE)</f>
        <v>#N/A</v>
      </c>
      <c r="I107" s="82">
        <f t="shared" si="24"/>
        <v>100</v>
      </c>
      <c r="J107" s="87" t="str">
        <f t="shared" si="20"/>
        <v/>
      </c>
      <c r="K107" s="216" t="str">
        <f>""</f>
        <v/>
      </c>
      <c r="L107" s="216" t="str">
        <f>""</f>
        <v/>
      </c>
      <c r="M107" s="216" t="str">
        <f>""</f>
        <v/>
      </c>
      <c r="N107" s="216" t="str">
        <f>""</f>
        <v/>
      </c>
      <c r="O107" s="216" t="str">
        <f>""</f>
        <v/>
      </c>
      <c r="P107" s="216" t="str">
        <f t="shared" si="21"/>
        <v/>
      </c>
      <c r="Q107" s="216" t="str">
        <f>""</f>
        <v/>
      </c>
      <c r="R107" s="216" t="str">
        <f>""</f>
        <v/>
      </c>
      <c r="S107" s="216" t="str">
        <f>""</f>
        <v/>
      </c>
      <c r="T107" s="216" t="str">
        <f>""</f>
        <v/>
      </c>
      <c r="U107" s="216" t="str">
        <f>""</f>
        <v/>
      </c>
      <c r="V107" s="216" t="str">
        <f t="shared" si="17"/>
        <v/>
      </c>
      <c r="W107" s="216" t="str">
        <f t="shared" si="22"/>
        <v/>
      </c>
      <c r="X107" s="216" t="str">
        <f t="shared" si="18"/>
        <v/>
      </c>
      <c r="Y107" s="216" t="str">
        <f t="shared" si="19"/>
        <v/>
      </c>
    </row>
    <row r="108" spans="1:25" ht="13.5" customHeight="1" x14ac:dyDescent="0.2">
      <c r="A108" s="151" t="str">
        <f t="shared" si="23"/>
        <v/>
      </c>
      <c r="B108" s="151">
        <f>IF(A108="",-1,IF(Data!$AP$3=2,IFERROR(SUM('Start List'!W108,X108/100,-A108/1000000),IFERROR(SUM(W108,-A108/1000000),0)),IFERROR(SUM(W108,X108/100,Y108/10000,-A108/1000000),IFERROR(SUM(W108,-A108/1000000),0))))</f>
        <v>-1</v>
      </c>
      <c r="C108" s="151">
        <f>IF(A108="",-1,IF(Data!$AP$3=2,IFERROR(SUM('Start List'!W108,X108/100,-A108/1000000),IFERROR(SUM(W108,-A108/1000000),0)),IFERROR(SUM(W108,X108/100,Y108/10000,-A108/1000000),IFERROR(SUM(W108,-A108/1000000),0))))+IF(OR(G108="M",G108="H"),1000,0)</f>
        <v>-1</v>
      </c>
      <c r="D108" s="213"/>
      <c r="E108" s="214"/>
      <c r="F108" s="215"/>
      <c r="G108" s="215"/>
      <c r="H108" s="155" t="e">
        <f>VLOOKUP(E108,Data!$A$1:$B$400,2,FALSE)</f>
        <v>#N/A</v>
      </c>
      <c r="I108" s="82">
        <f t="shared" si="24"/>
        <v>100</v>
      </c>
      <c r="J108" s="87" t="str">
        <f t="shared" si="20"/>
        <v/>
      </c>
      <c r="K108" s="216" t="str">
        <f>""</f>
        <v/>
      </c>
      <c r="L108" s="216" t="str">
        <f>""</f>
        <v/>
      </c>
      <c r="M108" s="216" t="str">
        <f>""</f>
        <v/>
      </c>
      <c r="N108" s="216" t="str">
        <f>""</f>
        <v/>
      </c>
      <c r="O108" s="216" t="str">
        <f>""</f>
        <v/>
      </c>
      <c r="P108" s="216" t="str">
        <f t="shared" si="21"/>
        <v/>
      </c>
      <c r="Q108" s="216" t="str">
        <f>""</f>
        <v/>
      </c>
      <c r="R108" s="216" t="str">
        <f>""</f>
        <v/>
      </c>
      <c r="S108" s="216" t="str">
        <f>""</f>
        <v/>
      </c>
      <c r="T108" s="216" t="str">
        <f>""</f>
        <v/>
      </c>
      <c r="U108" s="216" t="str">
        <f>""</f>
        <v/>
      </c>
      <c r="V108" s="216" t="str">
        <f t="shared" si="17"/>
        <v/>
      </c>
      <c r="W108" s="216" t="str">
        <f t="shared" si="22"/>
        <v/>
      </c>
      <c r="X108" s="216" t="str">
        <f t="shared" si="18"/>
        <v/>
      </c>
      <c r="Y108" s="216" t="str">
        <f t="shared" si="19"/>
        <v/>
      </c>
    </row>
    <row r="109" spans="1:25" ht="13.5" customHeight="1" x14ac:dyDescent="0.2">
      <c r="A109" s="151" t="str">
        <f t="shared" si="23"/>
        <v/>
      </c>
      <c r="B109" s="151">
        <f>IF(A109="",-1,IF(Data!$AP$3=2,IFERROR(SUM('Start List'!W109,X109/100,-A109/1000000),IFERROR(SUM(W109,-A109/1000000),0)),IFERROR(SUM(W109,X109/100,Y109/10000,-A109/1000000),IFERROR(SUM(W109,-A109/1000000),0))))</f>
        <v>-1</v>
      </c>
      <c r="C109" s="151">
        <f>IF(A109="",-1,IF(Data!$AP$3=2,IFERROR(SUM('Start List'!W109,X109/100,-A109/1000000),IFERROR(SUM(W109,-A109/1000000),0)),IFERROR(SUM(W109,X109/100,Y109/10000,-A109/1000000),IFERROR(SUM(W109,-A109/1000000),0))))+IF(OR(G109="M",G109="H"),1000,0)</f>
        <v>-1</v>
      </c>
      <c r="D109" s="213"/>
      <c r="E109" s="214"/>
      <c r="F109" s="215"/>
      <c r="G109" s="215"/>
      <c r="H109" s="155" t="e">
        <f>VLOOKUP(E109,Data!$A$1:$B$400,2,FALSE)</f>
        <v>#N/A</v>
      </c>
      <c r="I109" s="82">
        <f t="shared" si="24"/>
        <v>100</v>
      </c>
      <c r="J109" s="87" t="str">
        <f t="shared" si="20"/>
        <v/>
      </c>
      <c r="K109" s="216" t="str">
        <f>""</f>
        <v/>
      </c>
      <c r="L109" s="216" t="str">
        <f>""</f>
        <v/>
      </c>
      <c r="M109" s="216" t="str">
        <f>""</f>
        <v/>
      </c>
      <c r="N109" s="216" t="str">
        <f>""</f>
        <v/>
      </c>
      <c r="O109" s="216" t="str">
        <f>""</f>
        <v/>
      </c>
      <c r="P109" s="216" t="str">
        <f t="shared" si="21"/>
        <v/>
      </c>
      <c r="Q109" s="216" t="str">
        <f>""</f>
        <v/>
      </c>
      <c r="R109" s="216" t="str">
        <f>""</f>
        <v/>
      </c>
      <c r="S109" s="216" t="str">
        <f>""</f>
        <v/>
      </c>
      <c r="T109" s="216" t="str">
        <f>""</f>
        <v/>
      </c>
      <c r="U109" s="216" t="str">
        <f>""</f>
        <v/>
      </c>
      <c r="V109" s="216" t="str">
        <f t="shared" si="17"/>
        <v/>
      </c>
      <c r="W109" s="216" t="str">
        <f t="shared" si="22"/>
        <v/>
      </c>
      <c r="X109" s="216" t="str">
        <f t="shared" si="18"/>
        <v/>
      </c>
      <c r="Y109" s="216" t="str">
        <f t="shared" si="19"/>
        <v/>
      </c>
    </row>
    <row r="110" spans="1:25" ht="13.5" customHeight="1" x14ac:dyDescent="0.2">
      <c r="A110" s="151" t="str">
        <f t="shared" si="23"/>
        <v/>
      </c>
      <c r="B110" s="151">
        <f>IF(A110="",-1,IF(Data!$AP$3=2,IFERROR(SUM('Start List'!W110,X110/100,-A110/1000000),IFERROR(SUM(W110,-A110/1000000),0)),IFERROR(SUM(W110,X110/100,Y110/10000,-A110/1000000),IFERROR(SUM(W110,-A110/1000000),0))))</f>
        <v>-1</v>
      </c>
      <c r="C110" s="151">
        <f>IF(A110="",-1,IF(Data!$AP$3=2,IFERROR(SUM('Start List'!W110,X110/100,-A110/1000000),IFERROR(SUM(W110,-A110/1000000),0)),IFERROR(SUM(W110,X110/100,Y110/10000,-A110/1000000),IFERROR(SUM(W110,-A110/1000000),0))))+IF(OR(G110="M",G110="H"),1000,0)</f>
        <v>-1</v>
      </c>
      <c r="D110" s="213"/>
      <c r="E110" s="214"/>
      <c r="F110" s="215"/>
      <c r="G110" s="215"/>
      <c r="H110" s="155" t="e">
        <f>VLOOKUP(E110,Data!$A$1:$B$400,2,FALSE)</f>
        <v>#N/A</v>
      </c>
      <c r="I110" s="82">
        <f t="shared" si="24"/>
        <v>100</v>
      </c>
      <c r="J110" s="87" t="str">
        <f t="shared" si="20"/>
        <v/>
      </c>
      <c r="K110" s="216" t="str">
        <f>""</f>
        <v/>
      </c>
      <c r="L110" s="216" t="str">
        <f>""</f>
        <v/>
      </c>
      <c r="M110" s="216" t="str">
        <f>""</f>
        <v/>
      </c>
      <c r="N110" s="216" t="str">
        <f>""</f>
        <v/>
      </c>
      <c r="O110" s="216" t="str">
        <f>""</f>
        <v/>
      </c>
      <c r="P110" s="216" t="str">
        <f t="shared" si="21"/>
        <v/>
      </c>
      <c r="Q110" s="216" t="str">
        <f>""</f>
        <v/>
      </c>
      <c r="R110" s="216" t="str">
        <f>""</f>
        <v/>
      </c>
      <c r="S110" s="216" t="str">
        <f>""</f>
        <v/>
      </c>
      <c r="T110" s="216" t="str">
        <f>""</f>
        <v/>
      </c>
      <c r="U110" s="216" t="str">
        <f>""</f>
        <v/>
      </c>
      <c r="V110" s="216" t="str">
        <f t="shared" si="17"/>
        <v/>
      </c>
      <c r="W110" s="216" t="str">
        <f t="shared" si="22"/>
        <v/>
      </c>
      <c r="X110" s="216" t="str">
        <f t="shared" si="18"/>
        <v/>
      </c>
      <c r="Y110" s="216" t="str">
        <f t="shared" si="19"/>
        <v/>
      </c>
    </row>
    <row r="111" spans="1:25" ht="13.5" customHeight="1" x14ac:dyDescent="0.2">
      <c r="A111" s="151" t="str">
        <f t="shared" si="23"/>
        <v/>
      </c>
      <c r="B111" s="151">
        <f>IF(A111="",-1,IF(Data!$AP$3=2,IFERROR(SUM('Start List'!W111,X111/100,-A111/1000000),IFERROR(SUM(W111,-A111/1000000),0)),IFERROR(SUM(W111,X111/100,Y111/10000,-A111/1000000),IFERROR(SUM(W111,-A111/1000000),0))))</f>
        <v>-1</v>
      </c>
      <c r="C111" s="151">
        <f>IF(A111="",-1,IF(Data!$AP$3=2,IFERROR(SUM('Start List'!W111,X111/100,-A111/1000000),IFERROR(SUM(W111,-A111/1000000),0)),IFERROR(SUM(W111,X111/100,Y111/10000,-A111/1000000),IFERROR(SUM(W111,-A111/1000000),0))))+IF(OR(G111="M",G111="H"),1000,0)</f>
        <v>-1</v>
      </c>
      <c r="D111" s="213"/>
      <c r="E111" s="214"/>
      <c r="F111" s="215"/>
      <c r="G111" s="215"/>
      <c r="H111" s="155" t="e">
        <f>VLOOKUP(E111,Data!$A$1:$B$400,2,FALSE)</f>
        <v>#N/A</v>
      </c>
      <c r="I111" s="82">
        <f t="shared" si="24"/>
        <v>100</v>
      </c>
      <c r="J111" s="87" t="str">
        <f t="shared" si="20"/>
        <v/>
      </c>
      <c r="K111" s="216" t="str">
        <f>""</f>
        <v/>
      </c>
      <c r="L111" s="216" t="str">
        <f>""</f>
        <v/>
      </c>
      <c r="M111" s="216" t="str">
        <f>""</f>
        <v/>
      </c>
      <c r="N111" s="216" t="str">
        <f>""</f>
        <v/>
      </c>
      <c r="O111" s="216" t="str">
        <f>""</f>
        <v/>
      </c>
      <c r="P111" s="216" t="str">
        <f t="shared" si="21"/>
        <v/>
      </c>
      <c r="Q111" s="216" t="str">
        <f>""</f>
        <v/>
      </c>
      <c r="R111" s="216" t="str">
        <f>""</f>
        <v/>
      </c>
      <c r="S111" s="216" t="str">
        <f>""</f>
        <v/>
      </c>
      <c r="T111" s="216" t="str">
        <f>""</f>
        <v/>
      </c>
      <c r="U111" s="216" t="str">
        <f>""</f>
        <v/>
      </c>
      <c r="V111" s="216" t="str">
        <f t="shared" ref="V111:V120" si="25">IF(OR(A110=COUNTA(D:D)-2,A110=""),"",IF(V$6="IR300",SUM(Q111:U111),""))</f>
        <v/>
      </c>
      <c r="W111" s="216" t="str">
        <f t="shared" si="22"/>
        <v/>
      </c>
      <c r="X111" s="216" t="str">
        <f t="shared" ref="X111:X120" si="26">IF(OR(X$6=10,A111=""),"",SUM(L111,P111,T111))</f>
        <v/>
      </c>
      <c r="Y111" s="216" t="str">
        <f t="shared" ref="Y111:Y120" si="27">IF(OR(A111="",Y$6="Notes"),"",SUM(M111,Q111,U111))</f>
        <v/>
      </c>
    </row>
    <row r="112" spans="1:25" ht="13.5" customHeight="1" x14ac:dyDescent="0.2">
      <c r="A112" s="151" t="str">
        <f t="shared" si="23"/>
        <v/>
      </c>
      <c r="B112" s="151">
        <f>IF(A112="",-1,IF(Data!$AP$3=2,IFERROR(SUM('Start List'!W112,X112/100,-A112/1000000),IFERROR(SUM(W112,-A112/1000000),0)),IFERROR(SUM(W112,X112/100,Y112/10000,-A112/1000000),IFERROR(SUM(W112,-A112/1000000),0))))</f>
        <v>-1</v>
      </c>
      <c r="C112" s="151">
        <f>IF(A112="",-1,IF(Data!$AP$3=2,IFERROR(SUM('Start List'!W112,X112/100,-A112/1000000),IFERROR(SUM(W112,-A112/1000000),0)),IFERROR(SUM(W112,X112/100,Y112/10000,-A112/1000000),IFERROR(SUM(W112,-A112/1000000),0))))+IF(OR(G112="M",G112="H"),1000,0)</f>
        <v>-1</v>
      </c>
      <c r="D112" s="213"/>
      <c r="E112" s="214"/>
      <c r="F112" s="215"/>
      <c r="G112" s="215"/>
      <c r="H112" s="155" t="e">
        <f>VLOOKUP(E112,Data!$A$1:$B$400,2,FALSE)</f>
        <v>#N/A</v>
      </c>
      <c r="I112" s="82">
        <f t="shared" si="24"/>
        <v>100</v>
      </c>
      <c r="J112" s="87" t="str">
        <f t="shared" si="20"/>
        <v/>
      </c>
      <c r="K112" s="216" t="str">
        <f>""</f>
        <v/>
      </c>
      <c r="L112" s="216" t="str">
        <f>""</f>
        <v/>
      </c>
      <c r="M112" s="216" t="str">
        <f>""</f>
        <v/>
      </c>
      <c r="N112" s="216" t="str">
        <f>""</f>
        <v/>
      </c>
      <c r="O112" s="216" t="str">
        <f>""</f>
        <v/>
      </c>
      <c r="P112" s="216" t="str">
        <f t="shared" ref="P112:P120" si="28">IF(OR(A111=COUNTA(D:D)-2,A111=""),"",IF(P$6="IR300",SUM(K112:O112),""))</f>
        <v/>
      </c>
      <c r="Q112" s="216" t="str">
        <f>""</f>
        <v/>
      </c>
      <c r="R112" s="216" t="str">
        <f>""</f>
        <v/>
      </c>
      <c r="S112" s="216" t="str">
        <f>""</f>
        <v/>
      </c>
      <c r="T112" s="216" t="str">
        <f>""</f>
        <v/>
      </c>
      <c r="U112" s="216" t="str">
        <f>""</f>
        <v/>
      </c>
      <c r="V112" s="216" t="str">
        <f t="shared" si="25"/>
        <v/>
      </c>
      <c r="W112" s="216" t="str">
        <f t="shared" si="22"/>
        <v/>
      </c>
      <c r="X112" s="216" t="str">
        <f t="shared" si="26"/>
        <v/>
      </c>
      <c r="Y112" s="216" t="str">
        <f t="shared" si="27"/>
        <v/>
      </c>
    </row>
    <row r="113" spans="1:25" ht="13.5" customHeight="1" x14ac:dyDescent="0.2">
      <c r="A113" s="151" t="str">
        <f t="shared" si="23"/>
        <v/>
      </c>
      <c r="B113" s="151">
        <f>IF(A113="",-1,IF(Data!$AP$3=2,IFERROR(SUM('Start List'!W113,X113/100,-A113/1000000),IFERROR(SUM(W113,-A113/1000000),0)),IFERROR(SUM(W113,X113/100,Y113/10000,-A113/1000000),IFERROR(SUM(W113,-A113/1000000),0))))</f>
        <v>-1</v>
      </c>
      <c r="C113" s="151">
        <f>IF(A113="",-1,IF(Data!$AP$3=2,IFERROR(SUM('Start List'!W113,X113/100,-A113/1000000),IFERROR(SUM(W113,-A113/1000000),0)),IFERROR(SUM(W113,X113/100,Y113/10000,-A113/1000000),IFERROR(SUM(W113,-A113/1000000),0))))+IF(OR(G113="M",G113="H"),1000,0)</f>
        <v>-1</v>
      </c>
      <c r="D113" s="213"/>
      <c r="E113" s="214"/>
      <c r="F113" s="215"/>
      <c r="G113" s="215"/>
      <c r="H113" s="155" t="e">
        <f>VLOOKUP(E113,Data!$A$1:$B$400,2,FALSE)</f>
        <v>#N/A</v>
      </c>
      <c r="I113" s="82">
        <f t="shared" si="24"/>
        <v>100</v>
      </c>
      <c r="J113" s="87" t="str">
        <f t="shared" si="20"/>
        <v/>
      </c>
      <c r="K113" s="216" t="str">
        <f>""</f>
        <v/>
      </c>
      <c r="L113" s="216" t="str">
        <f>""</f>
        <v/>
      </c>
      <c r="M113" s="216" t="str">
        <f>""</f>
        <v/>
      </c>
      <c r="N113" s="216" t="str">
        <f>""</f>
        <v/>
      </c>
      <c r="O113" s="216" t="str">
        <f>""</f>
        <v/>
      </c>
      <c r="P113" s="216" t="str">
        <f t="shared" si="28"/>
        <v/>
      </c>
      <c r="Q113" s="216" t="str">
        <f>""</f>
        <v/>
      </c>
      <c r="R113" s="216" t="str">
        <f>""</f>
        <v/>
      </c>
      <c r="S113" s="216" t="str">
        <f>""</f>
        <v/>
      </c>
      <c r="T113" s="216" t="str">
        <f>""</f>
        <v/>
      </c>
      <c r="U113" s="216" t="str">
        <f>""</f>
        <v/>
      </c>
      <c r="V113" s="216" t="str">
        <f t="shared" si="25"/>
        <v/>
      </c>
      <c r="W113" s="216" t="str">
        <f t="shared" si="22"/>
        <v/>
      </c>
      <c r="X113" s="216" t="str">
        <f t="shared" si="26"/>
        <v/>
      </c>
      <c r="Y113" s="216" t="str">
        <f t="shared" si="27"/>
        <v/>
      </c>
    </row>
    <row r="114" spans="1:25" ht="13.5" customHeight="1" x14ac:dyDescent="0.2">
      <c r="A114" s="151" t="str">
        <f t="shared" si="23"/>
        <v/>
      </c>
      <c r="B114" s="151">
        <f>IF(A114="",-1,IF(Data!$AP$3=2,IFERROR(SUM('Start List'!W114,X114/100,-A114/1000000),IFERROR(SUM(W114,-A114/1000000),0)),IFERROR(SUM(W114,X114/100,Y114/10000,-A114/1000000),IFERROR(SUM(W114,-A114/1000000),0))))</f>
        <v>-1</v>
      </c>
      <c r="C114" s="151">
        <f>IF(A114="",-1,IF(Data!$AP$3=2,IFERROR(SUM('Start List'!W114,X114/100,-A114/1000000),IFERROR(SUM(W114,-A114/1000000),0)),IFERROR(SUM(W114,X114/100,Y114/10000,-A114/1000000),IFERROR(SUM(W114,-A114/1000000),0))))+IF(OR(G114="M",G114="H"),1000,0)</f>
        <v>-1</v>
      </c>
      <c r="D114" s="213"/>
      <c r="E114" s="214"/>
      <c r="F114" s="215"/>
      <c r="G114" s="215"/>
      <c r="H114" s="155" t="e">
        <f>VLOOKUP(E114,Data!$A$1:$B$400,2,FALSE)</f>
        <v>#N/A</v>
      </c>
      <c r="I114" s="82">
        <f t="shared" si="24"/>
        <v>100</v>
      </c>
      <c r="J114" s="87" t="str">
        <f t="shared" si="20"/>
        <v/>
      </c>
      <c r="K114" s="216" t="str">
        <f>""</f>
        <v/>
      </c>
      <c r="L114" s="216" t="str">
        <f>""</f>
        <v/>
      </c>
      <c r="M114" s="216" t="str">
        <f>""</f>
        <v/>
      </c>
      <c r="N114" s="216" t="str">
        <f>""</f>
        <v/>
      </c>
      <c r="O114" s="216" t="str">
        <f>""</f>
        <v/>
      </c>
      <c r="P114" s="216" t="str">
        <f t="shared" si="28"/>
        <v/>
      </c>
      <c r="Q114" s="216" t="str">
        <f>""</f>
        <v/>
      </c>
      <c r="R114" s="216" t="str">
        <f>""</f>
        <v/>
      </c>
      <c r="S114" s="216" t="str">
        <f>""</f>
        <v/>
      </c>
      <c r="T114" s="216" t="str">
        <f>""</f>
        <v/>
      </c>
      <c r="U114" s="216" t="str">
        <f>""</f>
        <v/>
      </c>
      <c r="V114" s="216" t="str">
        <f t="shared" si="25"/>
        <v/>
      </c>
      <c r="W114" s="216" t="str">
        <f t="shared" si="22"/>
        <v/>
      </c>
      <c r="X114" s="216" t="str">
        <f t="shared" si="26"/>
        <v/>
      </c>
      <c r="Y114" s="216" t="str">
        <f t="shared" si="27"/>
        <v/>
      </c>
    </row>
    <row r="115" spans="1:25" ht="13.5" customHeight="1" x14ac:dyDescent="0.2">
      <c r="A115" s="151" t="str">
        <f t="shared" si="23"/>
        <v/>
      </c>
      <c r="B115" s="151">
        <f>IF(A115="",-1,IF(Data!$AP$3=2,IFERROR(SUM('Start List'!W115,X115/100,-A115/1000000),IFERROR(SUM(W115,-A115/1000000),0)),IFERROR(SUM(W115,X115/100,Y115/10000,-A115/1000000),IFERROR(SUM(W115,-A115/1000000),0))))</f>
        <v>-1</v>
      </c>
      <c r="C115" s="151">
        <f>IF(A115="",-1,IF(Data!$AP$3=2,IFERROR(SUM('Start List'!W115,X115/100,-A115/1000000),IFERROR(SUM(W115,-A115/1000000),0)),IFERROR(SUM(W115,X115/100,Y115/10000,-A115/1000000),IFERROR(SUM(W115,-A115/1000000),0))))+IF(OR(G115="M",G115="H"),1000,0)</f>
        <v>-1</v>
      </c>
      <c r="D115" s="213"/>
      <c r="E115" s="214"/>
      <c r="F115" s="215"/>
      <c r="G115" s="215"/>
      <c r="H115" s="155" t="e">
        <f>VLOOKUP(E115,Data!$A$1:$B$400,2,FALSE)</f>
        <v>#N/A</v>
      </c>
      <c r="I115" s="82">
        <f t="shared" si="24"/>
        <v>100</v>
      </c>
      <c r="J115" s="87" t="str">
        <f t="shared" si="20"/>
        <v/>
      </c>
      <c r="K115" s="216" t="str">
        <f>""</f>
        <v/>
      </c>
      <c r="L115" s="216" t="str">
        <f>""</f>
        <v/>
      </c>
      <c r="M115" s="216" t="str">
        <f>""</f>
        <v/>
      </c>
      <c r="N115" s="216" t="str">
        <f>""</f>
        <v/>
      </c>
      <c r="O115" s="216" t="str">
        <f>""</f>
        <v/>
      </c>
      <c r="P115" s="216" t="str">
        <f t="shared" si="28"/>
        <v/>
      </c>
      <c r="Q115" s="216" t="str">
        <f>""</f>
        <v/>
      </c>
      <c r="R115" s="216" t="str">
        <f>""</f>
        <v/>
      </c>
      <c r="S115" s="216" t="str">
        <f>""</f>
        <v/>
      </c>
      <c r="T115" s="216" t="str">
        <f>""</f>
        <v/>
      </c>
      <c r="U115" s="216" t="str">
        <f>""</f>
        <v/>
      </c>
      <c r="V115" s="216" t="str">
        <f t="shared" si="25"/>
        <v/>
      </c>
      <c r="W115" s="216" t="str">
        <f t="shared" si="22"/>
        <v/>
      </c>
      <c r="X115" s="216" t="str">
        <f t="shared" si="26"/>
        <v/>
      </c>
      <c r="Y115" s="216" t="str">
        <f t="shared" si="27"/>
        <v/>
      </c>
    </row>
    <row r="116" spans="1:25" ht="13.5" customHeight="1" x14ac:dyDescent="0.2">
      <c r="A116" s="151" t="str">
        <f t="shared" si="23"/>
        <v/>
      </c>
      <c r="B116" s="151">
        <f>IF(A116="",-1,IF(Data!$AP$3=2,IFERROR(SUM('Start List'!W116,X116/100,-A116/1000000),IFERROR(SUM(W116,-A116/1000000),0)),IFERROR(SUM(W116,X116/100,Y116/10000,-A116/1000000),IFERROR(SUM(W116,-A116/1000000),0))))</f>
        <v>-1</v>
      </c>
      <c r="C116" s="151">
        <f>IF(A116="",-1,IF(Data!$AP$3=2,IFERROR(SUM('Start List'!W116,X116/100,-A116/1000000),IFERROR(SUM(W116,-A116/1000000),0)),IFERROR(SUM(W116,X116/100,Y116/10000,-A116/1000000),IFERROR(SUM(W116,-A116/1000000),0))))+IF(OR(G116="M",G116="H"),1000,0)</f>
        <v>-1</v>
      </c>
      <c r="D116" s="213"/>
      <c r="E116" s="214"/>
      <c r="F116" s="215"/>
      <c r="G116" s="215"/>
      <c r="H116" s="155" t="e">
        <f>VLOOKUP(E116,Data!$A$1:$B$400,2,FALSE)</f>
        <v>#N/A</v>
      </c>
      <c r="I116" s="82">
        <f t="shared" si="24"/>
        <v>100</v>
      </c>
      <c r="J116" s="87" t="str">
        <f t="shared" si="20"/>
        <v/>
      </c>
      <c r="K116" s="216" t="str">
        <f>""</f>
        <v/>
      </c>
      <c r="L116" s="216" t="str">
        <f>""</f>
        <v/>
      </c>
      <c r="M116" s="216" t="str">
        <f>""</f>
        <v/>
      </c>
      <c r="N116" s="216" t="str">
        <f>""</f>
        <v/>
      </c>
      <c r="O116" s="216" t="str">
        <f>""</f>
        <v/>
      </c>
      <c r="P116" s="216" t="str">
        <f t="shared" si="28"/>
        <v/>
      </c>
      <c r="Q116" s="216" t="str">
        <f>""</f>
        <v/>
      </c>
      <c r="R116" s="216" t="str">
        <f>""</f>
        <v/>
      </c>
      <c r="S116" s="216" t="str">
        <f>""</f>
        <v/>
      </c>
      <c r="T116" s="216" t="str">
        <f>""</f>
        <v/>
      </c>
      <c r="U116" s="216" t="str">
        <f>""</f>
        <v/>
      </c>
      <c r="V116" s="216" t="str">
        <f t="shared" si="25"/>
        <v/>
      </c>
      <c r="W116" s="216" t="str">
        <f t="shared" si="22"/>
        <v/>
      </c>
      <c r="X116" s="216" t="str">
        <f t="shared" si="26"/>
        <v/>
      </c>
      <c r="Y116" s="216" t="str">
        <f t="shared" si="27"/>
        <v/>
      </c>
    </row>
    <row r="117" spans="1:25" ht="13.5" customHeight="1" x14ac:dyDescent="0.2">
      <c r="A117" s="151" t="str">
        <f t="shared" si="23"/>
        <v/>
      </c>
      <c r="B117" s="151">
        <f>IF(A117="",-1,IF(Data!$AP$3=2,IFERROR(SUM('Start List'!W117,X117/100,-A117/1000000),IFERROR(SUM(W117,-A117/1000000),0)),IFERROR(SUM(W117,X117/100,Y117/10000,-A117/1000000),IFERROR(SUM(W117,-A117/1000000),0))))</f>
        <v>-1</v>
      </c>
      <c r="C117" s="151">
        <f>IF(A117="",-1,IF(Data!$AP$3=2,IFERROR(SUM('Start List'!W117,X117/100,-A117/1000000),IFERROR(SUM(W117,-A117/1000000),0)),IFERROR(SUM(W117,X117/100,Y117/10000,-A117/1000000),IFERROR(SUM(W117,-A117/1000000),0))))+IF(OR(G117="M",G117="H"),1000,0)</f>
        <v>-1</v>
      </c>
      <c r="D117" s="213"/>
      <c r="E117" s="214"/>
      <c r="F117" s="215"/>
      <c r="G117" s="215"/>
      <c r="H117" s="155" t="e">
        <f>VLOOKUP(E117,Data!$A$1:$B$400,2,FALSE)</f>
        <v>#N/A</v>
      </c>
      <c r="I117" s="82">
        <f t="shared" si="24"/>
        <v>100</v>
      </c>
      <c r="J117" s="87" t="str">
        <f t="shared" si="20"/>
        <v/>
      </c>
      <c r="K117" s="216" t="str">
        <f>""</f>
        <v/>
      </c>
      <c r="L117" s="216" t="str">
        <f>""</f>
        <v/>
      </c>
      <c r="M117" s="216" t="str">
        <f>""</f>
        <v/>
      </c>
      <c r="N117" s="216" t="str">
        <f>""</f>
        <v/>
      </c>
      <c r="O117" s="216" t="str">
        <f>""</f>
        <v/>
      </c>
      <c r="P117" s="216" t="str">
        <f t="shared" si="28"/>
        <v/>
      </c>
      <c r="Q117" s="216" t="str">
        <f>""</f>
        <v/>
      </c>
      <c r="R117" s="216" t="str">
        <f>""</f>
        <v/>
      </c>
      <c r="S117" s="216" t="str">
        <f>""</f>
        <v/>
      </c>
      <c r="T117" s="216" t="str">
        <f>""</f>
        <v/>
      </c>
      <c r="U117" s="216" t="str">
        <f>""</f>
        <v/>
      </c>
      <c r="V117" s="216" t="str">
        <f t="shared" si="25"/>
        <v/>
      </c>
      <c r="W117" s="216" t="str">
        <f t="shared" si="22"/>
        <v/>
      </c>
      <c r="X117" s="216" t="str">
        <f t="shared" si="26"/>
        <v/>
      </c>
      <c r="Y117" s="216" t="str">
        <f t="shared" si="27"/>
        <v/>
      </c>
    </row>
    <row r="118" spans="1:25" ht="13.5" customHeight="1" x14ac:dyDescent="0.2">
      <c r="A118" s="151" t="str">
        <f t="shared" si="23"/>
        <v/>
      </c>
      <c r="B118" s="151">
        <f>IF(A118="",-1,IF(Data!$AP$3=2,IFERROR(SUM('Start List'!W118,X118/100,-A118/1000000),IFERROR(SUM(W118,-A118/1000000),0)),IFERROR(SUM(W118,X118/100,Y118/10000,-A118/1000000),IFERROR(SUM(W118,-A118/1000000),0))))</f>
        <v>-1</v>
      </c>
      <c r="C118" s="151">
        <f>IF(A118="",-1,IF(Data!$AP$3=2,IFERROR(SUM('Start List'!W118,X118/100,-A118/1000000),IFERROR(SUM(W118,-A118/1000000),0)),IFERROR(SUM(W118,X118/100,Y118/10000,-A118/1000000),IFERROR(SUM(W118,-A118/1000000),0))))+IF(OR(G118="M",G118="H"),1000,0)</f>
        <v>-1</v>
      </c>
      <c r="D118" s="213"/>
      <c r="E118" s="214"/>
      <c r="F118" s="215"/>
      <c r="G118" s="215"/>
      <c r="H118" s="155" t="e">
        <f>VLOOKUP(E118,Data!$A$1:$B$400,2,FALSE)</f>
        <v>#N/A</v>
      </c>
      <c r="I118" s="82">
        <f t="shared" si="24"/>
        <v>100</v>
      </c>
      <c r="J118" s="87" t="str">
        <f t="shared" si="20"/>
        <v/>
      </c>
      <c r="K118" s="216" t="str">
        <f>""</f>
        <v/>
      </c>
      <c r="L118" s="216" t="str">
        <f>""</f>
        <v/>
      </c>
      <c r="M118" s="216" t="str">
        <f>""</f>
        <v/>
      </c>
      <c r="N118" s="216" t="str">
        <f>""</f>
        <v/>
      </c>
      <c r="O118" s="216" t="str">
        <f>""</f>
        <v/>
      </c>
      <c r="P118" s="216" t="str">
        <f t="shared" si="28"/>
        <v/>
      </c>
      <c r="Q118" s="216" t="str">
        <f>""</f>
        <v/>
      </c>
      <c r="R118" s="216" t="str">
        <f>""</f>
        <v/>
      </c>
      <c r="S118" s="216" t="str">
        <f>""</f>
        <v/>
      </c>
      <c r="T118" s="216" t="str">
        <f>""</f>
        <v/>
      </c>
      <c r="U118" s="216" t="str">
        <f>""</f>
        <v/>
      </c>
      <c r="V118" s="216" t="str">
        <f t="shared" si="25"/>
        <v/>
      </c>
      <c r="W118" s="216" t="str">
        <f t="shared" si="22"/>
        <v/>
      </c>
      <c r="X118" s="216" t="str">
        <f t="shared" si="26"/>
        <v/>
      </c>
      <c r="Y118" s="216" t="str">
        <f t="shared" si="27"/>
        <v/>
      </c>
    </row>
    <row r="119" spans="1:25" ht="13.5" customHeight="1" x14ac:dyDescent="0.2">
      <c r="A119" s="151" t="str">
        <f t="shared" si="23"/>
        <v/>
      </c>
      <c r="B119" s="151">
        <f>IF(A119="",-1,IF(Data!$AP$3=2,IFERROR(SUM('Start List'!W119,X119/100,-A119/1000000),IFERROR(SUM(W119,-A119/1000000),0)),IFERROR(SUM(W119,X119/100,Y119/10000,-A119/1000000),IFERROR(SUM(W119,-A119/1000000),0))))</f>
        <v>-1</v>
      </c>
      <c r="C119" s="151">
        <f>IF(A119="",-1,IF(Data!$AP$3=2,IFERROR(SUM('Start List'!W119,X119/100,-A119/1000000),IFERROR(SUM(W119,-A119/1000000),0)),IFERROR(SUM(W119,X119/100,Y119/10000,-A119/1000000),IFERROR(SUM(W119,-A119/1000000),0))))+IF(OR(G119="M",G119="H"),1000,0)</f>
        <v>-1</v>
      </c>
      <c r="D119" s="213"/>
      <c r="E119" s="214"/>
      <c r="F119" s="215"/>
      <c r="G119" s="215"/>
      <c r="H119" s="155" t="e">
        <f>VLOOKUP(E119,Data!$A$1:$B$400,2,FALSE)</f>
        <v>#N/A</v>
      </c>
      <c r="I119" s="82">
        <f t="shared" si="24"/>
        <v>100</v>
      </c>
      <c r="J119" s="87" t="str">
        <f t="shared" si="20"/>
        <v/>
      </c>
      <c r="K119" s="216" t="str">
        <f>""</f>
        <v/>
      </c>
      <c r="L119" s="216" t="str">
        <f>""</f>
        <v/>
      </c>
      <c r="M119" s="216" t="str">
        <f>""</f>
        <v/>
      </c>
      <c r="N119" s="216" t="str">
        <f>""</f>
        <v/>
      </c>
      <c r="O119" s="216" t="str">
        <f>""</f>
        <v/>
      </c>
      <c r="P119" s="216" t="str">
        <f t="shared" si="28"/>
        <v/>
      </c>
      <c r="Q119" s="216" t="str">
        <f>""</f>
        <v/>
      </c>
      <c r="R119" s="216" t="str">
        <f>""</f>
        <v/>
      </c>
      <c r="S119" s="216" t="str">
        <f>""</f>
        <v/>
      </c>
      <c r="T119" s="216" t="str">
        <f>""</f>
        <v/>
      </c>
      <c r="U119" s="216" t="str">
        <f>""</f>
        <v/>
      </c>
      <c r="V119" s="216" t="str">
        <f t="shared" si="25"/>
        <v/>
      </c>
      <c r="W119" s="216" t="str">
        <f t="shared" si="22"/>
        <v/>
      </c>
      <c r="X119" s="216" t="str">
        <f t="shared" si="26"/>
        <v/>
      </c>
      <c r="Y119" s="216" t="str">
        <f t="shared" si="27"/>
        <v/>
      </c>
    </row>
    <row r="120" spans="1:25" ht="13.5" customHeight="1" x14ac:dyDescent="0.2">
      <c r="A120" s="151" t="str">
        <f t="shared" si="23"/>
        <v/>
      </c>
      <c r="B120" s="151">
        <f>IF(A120="",-1,IF(Data!$AP$3=2,IFERROR(SUM('Start List'!W120,X120/100,-A120/1000000),IFERROR(SUM(W120,-A120/1000000),0)),IFERROR(SUM(W120,X120/100,Y120/10000,-A120/1000000),IFERROR(SUM(W120,-A120/1000000),0))))</f>
        <v>-1</v>
      </c>
      <c r="C120" s="151">
        <f>IF(A120="",-1,IF(Data!$AP$3=2,IFERROR(SUM('Start List'!W120,X120/100,-A120/1000000),IFERROR(SUM(W120,-A120/1000000),0)),IFERROR(SUM(W120,X120/100,Y120/10000,-A120/1000000),IFERROR(SUM(W120,-A120/1000000),0))))+IF(OR(G120="M",G120="H"),1000,0)</f>
        <v>-1</v>
      </c>
      <c r="D120" s="213"/>
      <c r="E120" s="214"/>
      <c r="F120" s="215"/>
      <c r="G120" s="215"/>
      <c r="H120" s="155" t="e">
        <f>VLOOKUP(E120,Data!$A$1:$B$400,2,FALSE)</f>
        <v>#N/A</v>
      </c>
      <c r="I120" s="82">
        <f t="shared" si="24"/>
        <v>100</v>
      </c>
      <c r="J120" s="87" t="str">
        <f t="shared" si="20"/>
        <v/>
      </c>
      <c r="K120" s="216" t="str">
        <f>""</f>
        <v/>
      </c>
      <c r="L120" s="216" t="str">
        <f>""</f>
        <v/>
      </c>
      <c r="M120" s="216" t="str">
        <f>""</f>
        <v/>
      </c>
      <c r="N120" s="216" t="str">
        <f>""</f>
        <v/>
      </c>
      <c r="O120" s="216" t="str">
        <f>""</f>
        <v/>
      </c>
      <c r="P120" s="216" t="str">
        <f t="shared" si="28"/>
        <v/>
      </c>
      <c r="Q120" s="216" t="str">
        <f>""</f>
        <v/>
      </c>
      <c r="R120" s="216" t="str">
        <f>""</f>
        <v/>
      </c>
      <c r="S120" s="216" t="str">
        <f>""</f>
        <v/>
      </c>
      <c r="T120" s="216" t="str">
        <f>""</f>
        <v/>
      </c>
      <c r="U120" s="216" t="str">
        <f>""</f>
        <v/>
      </c>
      <c r="V120" s="216" t="str">
        <f t="shared" si="25"/>
        <v/>
      </c>
      <c r="W120" s="216" t="str">
        <f t="shared" si="22"/>
        <v/>
      </c>
      <c r="X120" s="216" t="str">
        <f t="shared" si="26"/>
        <v/>
      </c>
      <c r="Y120" s="216" t="str">
        <f t="shared" si="27"/>
        <v/>
      </c>
    </row>
    <row r="121" spans="1:25" ht="13.5" customHeight="1" x14ac:dyDescent="0.2">
      <c r="A121" s="151"/>
      <c r="B121" s="151"/>
      <c r="C121" s="151"/>
      <c r="D121" s="153"/>
      <c r="E121" s="154"/>
      <c r="F121" s="54"/>
      <c r="G121" s="54"/>
      <c r="H121" s="155"/>
      <c r="I121" s="82"/>
      <c r="J121" s="87"/>
      <c r="K121" s="114"/>
      <c r="L121" s="114"/>
      <c r="M121" s="114"/>
      <c r="N121" s="114"/>
      <c r="O121" s="114"/>
      <c r="P121" s="114"/>
      <c r="Q121" s="114"/>
      <c r="R121" s="114"/>
      <c r="S121" s="114"/>
      <c r="T121" s="114"/>
      <c r="U121" s="156"/>
      <c r="V121" s="157"/>
      <c r="W121" s="158"/>
    </row>
    <row r="122" spans="1:25" ht="13.5" customHeight="1" x14ac:dyDescent="0.2">
      <c r="A122" s="151"/>
      <c r="B122" s="151"/>
      <c r="C122" s="151"/>
      <c r="D122" s="153"/>
      <c r="E122" s="154"/>
      <c r="F122" s="54"/>
      <c r="G122" s="54"/>
      <c r="H122" s="155"/>
      <c r="I122" s="82"/>
      <c r="J122" s="87"/>
      <c r="K122" s="114"/>
      <c r="L122" s="114"/>
      <c r="M122" s="114"/>
      <c r="N122" s="114"/>
      <c r="O122" s="114"/>
      <c r="P122" s="114"/>
      <c r="Q122" s="114"/>
      <c r="R122" s="114"/>
      <c r="S122" s="114"/>
      <c r="T122" s="114"/>
      <c r="U122" s="156"/>
      <c r="V122" s="157"/>
      <c r="W122" s="158"/>
    </row>
    <row r="123" spans="1:25" ht="13.5" customHeight="1" x14ac:dyDescent="0.2">
      <c r="A123" s="151"/>
      <c r="B123" s="151"/>
      <c r="C123" s="151"/>
      <c r="D123" s="153"/>
      <c r="E123" s="154"/>
      <c r="F123" s="54"/>
      <c r="G123" s="54"/>
      <c r="H123" s="155"/>
      <c r="I123" s="82"/>
      <c r="J123" s="87"/>
      <c r="K123" s="114"/>
      <c r="L123" s="114"/>
      <c r="M123" s="114"/>
      <c r="N123" s="114"/>
      <c r="O123" s="114"/>
      <c r="P123" s="114"/>
      <c r="Q123" s="114"/>
      <c r="R123" s="114"/>
      <c r="S123" s="114"/>
      <c r="T123" s="114"/>
      <c r="U123" s="156"/>
      <c r="V123" s="159"/>
    </row>
    <row r="124" spans="1:25" ht="13.5" customHeight="1" x14ac:dyDescent="0.2">
      <c r="A124" s="151"/>
      <c r="B124" s="151"/>
      <c r="C124" s="151"/>
      <c r="D124" s="153"/>
      <c r="E124" s="154"/>
      <c r="F124" s="54"/>
      <c r="G124" s="54"/>
      <c r="H124" s="155"/>
      <c r="I124" s="82"/>
      <c r="J124" s="87"/>
      <c r="K124" s="114"/>
      <c r="L124" s="114"/>
      <c r="M124" s="114"/>
      <c r="N124" s="114"/>
      <c r="O124" s="114"/>
      <c r="P124" s="114"/>
      <c r="Q124" s="114"/>
      <c r="R124" s="114"/>
      <c r="S124" s="114"/>
      <c r="T124" s="114"/>
      <c r="U124" s="156"/>
      <c r="V124" s="159"/>
    </row>
    <row r="125" spans="1:25" ht="13.5" customHeight="1" x14ac:dyDescent="0.2">
      <c r="A125" s="151"/>
      <c r="B125" s="151"/>
      <c r="C125" s="151"/>
      <c r="D125" s="153"/>
      <c r="E125" s="154"/>
      <c r="F125" s="54"/>
      <c r="G125" s="54"/>
      <c r="H125" s="155"/>
      <c r="I125" s="82"/>
      <c r="J125" s="87"/>
      <c r="K125" s="114"/>
      <c r="L125" s="114"/>
      <c r="M125" s="114"/>
      <c r="N125" s="114"/>
      <c r="O125" s="114"/>
      <c r="P125" s="114"/>
      <c r="Q125" s="114"/>
      <c r="R125" s="114"/>
      <c r="S125" s="114"/>
      <c r="T125" s="114"/>
      <c r="U125" s="156"/>
      <c r="V125" s="159"/>
    </row>
    <row r="126" spans="1:25" ht="13.5" customHeight="1" x14ac:dyDescent="0.2">
      <c r="A126" s="151"/>
      <c r="B126" s="151"/>
      <c r="C126" s="151"/>
      <c r="D126" s="153"/>
      <c r="E126" s="154"/>
      <c r="F126" s="54"/>
      <c r="G126" s="54"/>
      <c r="H126" s="155"/>
      <c r="I126" s="82"/>
      <c r="J126" s="87"/>
      <c r="K126" s="114"/>
      <c r="L126" s="114"/>
      <c r="M126" s="114"/>
      <c r="N126" s="114"/>
      <c r="O126" s="114"/>
      <c r="P126" s="114"/>
      <c r="Q126" s="114"/>
      <c r="R126" s="114"/>
      <c r="S126" s="114"/>
      <c r="T126" s="114"/>
      <c r="U126" s="156"/>
      <c r="V126" s="159"/>
    </row>
    <row r="127" spans="1:25" ht="13.5" customHeight="1" x14ac:dyDescent="0.2">
      <c r="A127" s="151"/>
      <c r="B127" s="151"/>
      <c r="C127" s="151"/>
      <c r="D127" s="153"/>
      <c r="E127" s="154"/>
      <c r="F127" s="54"/>
      <c r="G127" s="54"/>
      <c r="H127" s="155"/>
      <c r="I127" s="82"/>
      <c r="J127" s="87"/>
      <c r="K127" s="114"/>
      <c r="L127" s="114"/>
      <c r="M127" s="114"/>
      <c r="N127" s="114"/>
      <c r="O127" s="114"/>
      <c r="P127" s="114"/>
      <c r="Q127" s="114"/>
      <c r="R127" s="114"/>
      <c r="S127" s="114"/>
      <c r="T127" s="114"/>
      <c r="U127" s="156"/>
      <c r="V127" s="159"/>
    </row>
    <row r="128" spans="1:25" ht="13.5" customHeight="1" x14ac:dyDescent="0.2">
      <c r="A128" s="151"/>
      <c r="B128" s="151"/>
      <c r="C128" s="151"/>
      <c r="D128" s="153"/>
      <c r="E128" s="154"/>
      <c r="F128" s="54"/>
      <c r="G128" s="54"/>
      <c r="H128" s="155"/>
      <c r="I128" s="82"/>
      <c r="J128" s="87"/>
      <c r="K128" s="114"/>
      <c r="L128" s="114"/>
      <c r="M128" s="114"/>
      <c r="N128" s="114"/>
      <c r="O128" s="114"/>
      <c r="P128" s="114"/>
      <c r="Q128" s="114"/>
      <c r="R128" s="114"/>
      <c r="S128" s="114"/>
      <c r="T128" s="114"/>
      <c r="U128" s="156"/>
      <c r="V128" s="159"/>
    </row>
    <row r="129" spans="1:22" ht="13.5" customHeight="1" x14ac:dyDescent="0.2">
      <c r="A129" s="151"/>
      <c r="B129" s="151"/>
      <c r="C129" s="151"/>
      <c r="D129" s="153"/>
      <c r="E129" s="154"/>
      <c r="F129" s="54"/>
      <c r="G129" s="54"/>
      <c r="H129" s="155"/>
      <c r="I129" s="82"/>
      <c r="J129" s="87"/>
      <c r="K129" s="114"/>
      <c r="L129" s="114"/>
      <c r="M129" s="114"/>
      <c r="N129" s="114"/>
      <c r="O129" s="114"/>
      <c r="P129" s="114"/>
      <c r="Q129" s="114"/>
      <c r="R129" s="114"/>
      <c r="S129" s="114"/>
      <c r="T129" s="114"/>
      <c r="U129" s="156"/>
      <c r="V129" s="159"/>
    </row>
    <row r="130" spans="1:22" ht="13.5" customHeight="1" x14ac:dyDescent="0.2">
      <c r="A130" s="151"/>
      <c r="B130" s="151"/>
      <c r="C130" s="151"/>
      <c r="D130" s="153"/>
      <c r="E130" s="154"/>
      <c r="F130" s="54"/>
      <c r="G130" s="54"/>
      <c r="H130" s="155"/>
      <c r="I130" s="82"/>
      <c r="J130" s="87"/>
      <c r="K130" s="114"/>
      <c r="L130" s="114"/>
      <c r="M130" s="114"/>
      <c r="N130" s="114"/>
      <c r="O130" s="114"/>
      <c r="P130" s="114"/>
      <c r="Q130" s="114"/>
      <c r="R130" s="114"/>
      <c r="S130" s="114"/>
      <c r="T130" s="114"/>
      <c r="U130" s="156"/>
      <c r="V130" s="159"/>
    </row>
    <row r="131" spans="1:22" ht="13.5" customHeight="1" x14ac:dyDescent="0.2">
      <c r="A131" s="151"/>
      <c r="B131" s="151"/>
      <c r="C131" s="151"/>
      <c r="D131" s="153"/>
      <c r="E131" s="154"/>
      <c r="F131" s="54"/>
      <c r="G131" s="54"/>
      <c r="H131" s="155"/>
      <c r="I131" s="82"/>
      <c r="J131" s="87"/>
      <c r="K131" s="114"/>
      <c r="L131" s="114"/>
      <c r="M131" s="114"/>
      <c r="N131" s="114"/>
      <c r="O131" s="114"/>
      <c r="P131" s="114"/>
      <c r="Q131" s="114"/>
      <c r="R131" s="114"/>
      <c r="S131" s="114"/>
      <c r="T131" s="114"/>
      <c r="U131" s="156"/>
      <c r="V131" s="159"/>
    </row>
    <row r="132" spans="1:22" ht="13.5" customHeight="1" x14ac:dyDescent="0.2">
      <c r="A132" s="151"/>
      <c r="B132" s="151"/>
      <c r="C132" s="151"/>
      <c r="D132" s="153"/>
      <c r="E132" s="154"/>
      <c r="F132" s="54"/>
      <c r="G132" s="54"/>
      <c r="H132" s="155"/>
      <c r="I132" s="82"/>
      <c r="J132" s="87"/>
      <c r="K132" s="114"/>
      <c r="L132" s="114"/>
      <c r="M132" s="114"/>
      <c r="N132" s="114"/>
      <c r="O132" s="114"/>
      <c r="P132" s="114"/>
      <c r="Q132" s="114"/>
      <c r="R132" s="114"/>
      <c r="S132" s="114"/>
      <c r="T132" s="114"/>
      <c r="U132" s="156"/>
      <c r="V132" s="159"/>
    </row>
    <row r="133" spans="1:22" ht="13.5" customHeight="1" x14ac:dyDescent="0.2">
      <c r="A133" s="151"/>
      <c r="B133" s="151"/>
      <c r="C133" s="151"/>
      <c r="D133" s="153"/>
      <c r="E133" s="154"/>
      <c r="F133" s="54"/>
      <c r="G133" s="54"/>
      <c r="H133" s="155"/>
      <c r="I133" s="82"/>
      <c r="J133" s="87"/>
      <c r="K133" s="114"/>
      <c r="L133" s="114"/>
      <c r="M133" s="114"/>
      <c r="N133" s="114"/>
      <c r="O133" s="114"/>
      <c r="P133" s="114"/>
      <c r="Q133" s="114"/>
      <c r="R133" s="114"/>
      <c r="S133" s="114"/>
      <c r="T133" s="114"/>
      <c r="U133" s="156"/>
      <c r="V133" s="159"/>
    </row>
    <row r="134" spans="1:22" ht="13.5" customHeight="1" x14ac:dyDescent="0.2">
      <c r="A134" s="151"/>
      <c r="B134" s="151"/>
      <c r="C134" s="151"/>
      <c r="D134" s="153"/>
      <c r="E134" s="154"/>
      <c r="F134" s="54"/>
      <c r="G134" s="54"/>
      <c r="H134" s="155"/>
      <c r="I134" s="82"/>
      <c r="J134" s="87"/>
      <c r="K134" s="114"/>
      <c r="L134" s="114"/>
      <c r="M134" s="114"/>
      <c r="N134" s="114"/>
      <c r="O134" s="114"/>
      <c r="P134" s="114"/>
      <c r="Q134" s="114"/>
      <c r="R134" s="114"/>
      <c r="S134" s="114"/>
      <c r="T134" s="114"/>
      <c r="U134" s="156"/>
      <c r="V134" s="159"/>
    </row>
    <row r="135" spans="1:22" ht="13.5" customHeight="1" x14ac:dyDescent="0.2">
      <c r="A135" s="151"/>
      <c r="B135" s="151"/>
      <c r="C135" s="151"/>
      <c r="D135" s="153"/>
      <c r="E135" s="154"/>
      <c r="F135" s="54"/>
      <c r="G135" s="54"/>
      <c r="H135" s="155"/>
      <c r="I135" s="82"/>
      <c r="J135" s="87"/>
      <c r="K135" s="114"/>
      <c r="L135" s="114"/>
      <c r="M135" s="114"/>
      <c r="N135" s="114"/>
      <c r="O135" s="114"/>
      <c r="P135" s="114"/>
      <c r="Q135" s="114"/>
      <c r="R135" s="114"/>
      <c r="S135" s="114"/>
      <c r="T135" s="114"/>
      <c r="U135" s="156"/>
      <c r="V135" s="159"/>
    </row>
    <row r="136" spans="1:22" ht="13.5" customHeight="1" x14ac:dyDescent="0.2">
      <c r="A136" s="151"/>
      <c r="B136" s="151"/>
      <c r="C136" s="151"/>
      <c r="D136" s="153"/>
      <c r="E136" s="154"/>
      <c r="F136" s="54"/>
      <c r="G136" s="54"/>
      <c r="H136" s="155"/>
      <c r="I136" s="82"/>
      <c r="J136" s="87"/>
      <c r="K136" s="114"/>
      <c r="L136" s="114"/>
      <c r="M136" s="114"/>
      <c r="N136" s="114"/>
      <c r="O136" s="114"/>
      <c r="P136" s="114"/>
      <c r="Q136" s="114"/>
      <c r="R136" s="114"/>
      <c r="S136" s="114"/>
      <c r="T136" s="114"/>
      <c r="U136" s="156"/>
      <c r="V136" s="159"/>
    </row>
    <row r="137" spans="1:22" ht="13.5" customHeight="1" x14ac:dyDescent="0.2">
      <c r="A137" s="151"/>
      <c r="B137" s="151"/>
      <c r="C137" s="151"/>
      <c r="D137" s="153"/>
      <c r="E137" s="154"/>
      <c r="F137" s="54"/>
      <c r="G137" s="54"/>
      <c r="H137" s="155"/>
      <c r="I137" s="82"/>
      <c r="J137" s="87"/>
      <c r="K137" s="114"/>
      <c r="L137" s="114"/>
      <c r="M137" s="114"/>
      <c r="N137" s="114"/>
      <c r="O137" s="114"/>
      <c r="P137" s="114"/>
      <c r="Q137" s="114"/>
      <c r="R137" s="114"/>
      <c r="S137" s="114"/>
      <c r="T137" s="114"/>
      <c r="U137" s="156"/>
      <c r="V137" s="159"/>
    </row>
    <row r="138" spans="1:22" ht="13.5" customHeight="1" x14ac:dyDescent="0.2">
      <c r="A138" s="151"/>
      <c r="B138" s="151"/>
      <c r="C138" s="151"/>
      <c r="D138" s="153"/>
      <c r="E138" s="154"/>
      <c r="F138" s="54"/>
      <c r="G138" s="54"/>
      <c r="H138" s="155"/>
      <c r="I138" s="82"/>
      <c r="J138" s="87"/>
      <c r="K138" s="114"/>
      <c r="L138" s="114"/>
      <c r="M138" s="114"/>
      <c r="N138" s="114"/>
      <c r="O138" s="114"/>
      <c r="P138" s="114"/>
      <c r="Q138" s="114"/>
      <c r="R138" s="114"/>
      <c r="S138" s="114"/>
      <c r="T138" s="114"/>
      <c r="U138" s="156"/>
      <c r="V138" s="159"/>
    </row>
    <row r="139" spans="1:22" ht="13.5" customHeight="1" x14ac:dyDescent="0.2">
      <c r="A139" s="151"/>
      <c r="B139" s="151"/>
      <c r="C139" s="151"/>
      <c r="D139" s="153"/>
      <c r="E139" s="154"/>
      <c r="F139" s="54"/>
      <c r="G139" s="54"/>
      <c r="H139" s="155"/>
      <c r="I139" s="82"/>
      <c r="J139" s="87"/>
      <c r="K139" s="114"/>
      <c r="L139" s="114"/>
      <c r="M139" s="114"/>
      <c r="N139" s="114"/>
      <c r="O139" s="114"/>
      <c r="P139" s="114"/>
      <c r="Q139" s="114"/>
      <c r="R139" s="114"/>
      <c r="S139" s="114"/>
      <c r="T139" s="114"/>
      <c r="U139" s="156"/>
      <c r="V139" s="159"/>
    </row>
  </sheetData>
  <sheetProtection password="DB9B" sheet="1" objects="1" scenarios="1" sort="0"/>
  <sortState ref="D15:G34">
    <sortCondition ref="F15:F34" customList="M,Ž,J,K,S"/>
  </sortState>
  <mergeCells count="29">
    <mergeCell ref="A1:Y1"/>
    <mergeCell ref="A2:Y2"/>
    <mergeCell ref="A3:Y3"/>
    <mergeCell ref="A4:Y4"/>
    <mergeCell ref="W6:W7"/>
    <mergeCell ref="X6:X7"/>
    <mergeCell ref="Y6:Y7"/>
    <mergeCell ref="B6:B7"/>
    <mergeCell ref="H6:H7"/>
    <mergeCell ref="I6:I7"/>
    <mergeCell ref="J6:J7"/>
    <mergeCell ref="L6:L7"/>
    <mergeCell ref="M6:M7"/>
    <mergeCell ref="N6:N7"/>
    <mergeCell ref="O6:O7"/>
    <mergeCell ref="G6:G7"/>
    <mergeCell ref="C6:C7"/>
    <mergeCell ref="A6:A7"/>
    <mergeCell ref="D6:D7"/>
    <mergeCell ref="E6:E7"/>
    <mergeCell ref="F6:F7"/>
    <mergeCell ref="K6:K7"/>
    <mergeCell ref="V6:V7"/>
    <mergeCell ref="U6:U7"/>
    <mergeCell ref="T6:T7"/>
    <mergeCell ref="S6:S7"/>
    <mergeCell ref="P6:P7"/>
    <mergeCell ref="Q6:Q7"/>
    <mergeCell ref="R6:R7"/>
  </mergeCells>
  <conditionalFormatting sqref="K15:K120">
    <cfRule type="expression" dxfId="571" priority="39">
      <formula>OR($K$6="65m",$K$6="50m",$K$6="35m",$K$6="IR300")</formula>
    </cfRule>
  </conditionalFormatting>
  <conditionalFormatting sqref="L15:L120">
    <cfRule type="expression" dxfId="570" priority="38">
      <formula>OR($L$6="R10",$L$6="10",$L$6="Notes")</formula>
    </cfRule>
  </conditionalFormatting>
  <conditionalFormatting sqref="M15:M120">
    <cfRule type="expression" dxfId="569" priority="37">
      <formula>OR($M$6="R10",$M$6=10,$M$6="Notes")</formula>
    </cfRule>
  </conditionalFormatting>
  <conditionalFormatting sqref="O15:O120">
    <cfRule type="expression" dxfId="568" priority="36">
      <formula>OR($K$6="65m",$K$6="50m",$K$6="35m",$K$6="IR300")</formula>
    </cfRule>
  </conditionalFormatting>
  <conditionalFormatting sqref="P15:P120">
    <cfRule type="expression" dxfId="567" priority="35">
      <formula>OR($L$6="65m",$L$6="50m",$L$6="35m",$L$6="IR300")</formula>
    </cfRule>
  </conditionalFormatting>
  <conditionalFormatting sqref="Q15:Q120">
    <cfRule type="expression" dxfId="566" priority="30">
      <formula>OR($M$6="65m",$M$6="50m",$M$6="35m",$M$6="IR300")</formula>
    </cfRule>
  </conditionalFormatting>
  <conditionalFormatting sqref="S15:S120">
    <cfRule type="expression" dxfId="565" priority="2">
      <formula>OR($K$6="65m",$K$6="50m",$K$6="35m",$K$6="IR300")</formula>
    </cfRule>
  </conditionalFormatting>
  <conditionalFormatting sqref="W15:W120">
    <cfRule type="expression" dxfId="564" priority="5">
      <formula>OR($W$6="65m",$W$6="50m",$W$6="35m",$W$6="IR300",$W$6="Σ")</formula>
    </cfRule>
  </conditionalFormatting>
  <conditionalFormatting sqref="Y15:Y120">
    <cfRule type="expression" dxfId="563" priority="28">
      <formula>OR($M$6="65m",$M$6="50m",$M$6="35m",$M$6="IR300")</formula>
    </cfRule>
  </conditionalFormatting>
  <conditionalFormatting sqref="P15:P120">
    <cfRule type="expression" dxfId="562" priority="27">
      <formula>OR($L$6="R10",$L$6="10",$L$6="Notes")</formula>
    </cfRule>
  </conditionalFormatting>
  <conditionalFormatting sqref="Q15:Q120">
    <cfRule type="expression" dxfId="561" priority="22">
      <formula>OR($M$6="R10",$M$6=10,$M$6="Notes")</formula>
    </cfRule>
  </conditionalFormatting>
  <conditionalFormatting sqref="T15:T120">
    <cfRule type="expression" dxfId="560" priority="21">
      <formula>OR($L$6="R10",$L$6="10",$L$6="Notes")</formula>
    </cfRule>
  </conditionalFormatting>
  <conditionalFormatting sqref="U15:U120">
    <cfRule type="expression" dxfId="559" priority="18">
      <formula>OR($M$6="R10",$M$6=10,$M$6="Notes")</formula>
    </cfRule>
  </conditionalFormatting>
  <conditionalFormatting sqref="Y15:Y120">
    <cfRule type="expression" dxfId="558" priority="15">
      <formula>OR($M$6="65m",$M$6="50m",$M$6="35m",$M$6="IR300")</formula>
    </cfRule>
  </conditionalFormatting>
  <conditionalFormatting sqref="Y15:Y122">
    <cfRule type="expression" dxfId="557" priority="13">
      <formula>OR($M$6="65m",$M$6="50m",$M$6="35m",$M$6="IR300")</formula>
    </cfRule>
  </conditionalFormatting>
  <conditionalFormatting sqref="X15:Y120">
    <cfRule type="expression" dxfId="556" priority="12">
      <formula>OR($X$6="R10",$X$6=10,$X$6="Notes")</formula>
    </cfRule>
  </conditionalFormatting>
  <conditionalFormatting sqref="Y15:Y120">
    <cfRule type="expression" dxfId="555" priority="10">
      <formula>OR($M$6="R10",$M$6=10,$M$6="Notes")</formula>
    </cfRule>
  </conditionalFormatting>
  <conditionalFormatting sqref="P15:P120">
    <cfRule type="expression" dxfId="554" priority="7">
      <formula>OR($P$6="IR300")</formula>
    </cfRule>
  </conditionalFormatting>
  <conditionalFormatting sqref="V15:W122">
    <cfRule type="expression" dxfId="553" priority="6">
      <formula>OR($P$6="IR300")</formula>
    </cfRule>
  </conditionalFormatting>
  <conditionalFormatting sqref="R15:R120">
    <cfRule type="expression" dxfId="552" priority="4">
      <formula>OR($L$6="R10",$L$6="10",$L$6="Notes")</formula>
    </cfRule>
  </conditionalFormatting>
  <conditionalFormatting sqref="S15:S120">
    <cfRule type="expression" dxfId="551" priority="3">
      <formula>OR($M$6="R10",$M$6=10,$M$6="Notes")</formula>
    </cfRule>
  </conditionalFormatting>
  <conditionalFormatting sqref="I9:N14 P9:Y14 O9:O10 A9:E139 F15:Y139">
    <cfRule type="expression" dxfId="550" priority="1">
      <formula>OR($A9="")</formula>
    </cfRule>
  </conditionalFormatting>
  <conditionalFormatting sqref="F9:G14">
    <cfRule type="expression" dxfId="549" priority="117">
      <formula>OR($A9="")</formula>
    </cfRule>
  </conditionalFormatting>
  <printOptions horizontalCentered="1"/>
  <pageMargins left="0.19685039370078741" right="0.19685039370078741" top="0.59055118110236227" bottom="0.59055118110236227" header="0" footer="0"/>
  <pageSetup paperSize="9" scale="6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140"/>
  <sheetViews>
    <sheetView showGridLines="0" showRowColHeaders="0" topLeftCell="C1" zoomScaleSheetLayoutView="55" workbookViewId="0">
      <selection activeCell="K30" sqref="K30"/>
    </sheetView>
  </sheetViews>
  <sheetFormatPr defaultColWidth="9.140625" defaultRowHeight="12" x14ac:dyDescent="0.2"/>
  <cols>
    <col min="1" max="1" width="3" style="59" hidden="1" customWidth="1"/>
    <col min="2" max="2" width="8" style="59" hidden="1" customWidth="1"/>
    <col min="3" max="3" width="5.5703125" style="84" customWidth="1"/>
    <col min="4" max="4" width="15.42578125" style="84" hidden="1" customWidth="1"/>
    <col min="5" max="5" width="5.7109375" style="84" hidden="1" customWidth="1"/>
    <col min="6" max="7" width="3.5703125" style="84" hidden="1" customWidth="1"/>
    <col min="8" max="8" width="3.140625" style="223" hidden="1" customWidth="1"/>
    <col min="9" max="9" width="6.42578125" style="223" hidden="1" customWidth="1"/>
    <col min="10" max="10" width="24.7109375" style="85" customWidth="1"/>
    <col min="11" max="11" width="36.28515625" style="84" bestFit="1" customWidth="1"/>
    <col min="12" max="12" width="4.5703125" style="84" hidden="1" customWidth="1"/>
    <col min="13" max="13" width="4.5703125" style="84" bestFit="1" customWidth="1"/>
    <col min="14" max="24" width="5.7109375" style="84" customWidth="1"/>
    <col min="25" max="25" width="5.7109375" style="86" customWidth="1"/>
    <col min="26" max="26" width="5.7109375" style="62" customWidth="1"/>
    <col min="27" max="28" width="5.7109375" style="66" customWidth="1"/>
    <col min="29" max="16384" width="9.140625" style="62"/>
  </cols>
  <sheetData>
    <row r="1" spans="1:28" s="58" customFormat="1" ht="15.75" customHeight="1" x14ac:dyDescent="0.25">
      <c r="A1" s="243" t="str">
        <f>Settings!C5</f>
        <v>22. BOHEMIA CUP - CROSSBOW FIELD</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28" s="58" customFormat="1" ht="15.75" customHeight="1" x14ac:dyDescent="0.25">
      <c r="A2" s="243" t="str">
        <f>Settings!$C$7&amp;", "&amp;Settings!$C$6</f>
        <v>Nový Stadion, TJ Jiskra, Otrokovice</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row>
    <row r="3" spans="1:28" s="58" customFormat="1" ht="15.75" customHeight="1" x14ac:dyDescent="0.25">
      <c r="A3" s="243" t="str">
        <f>Settings!$C$8</f>
        <v>14.-16. August 2020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row>
    <row r="4" spans="1:28" s="58" customFormat="1" ht="15.75" customHeight="1" x14ac:dyDescent="0.25">
      <c r="A4" s="243" t="s">
        <v>720</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row>
    <row r="5" spans="1:28" ht="13.5" customHeight="1" x14ac:dyDescent="0.2">
      <c r="C5" s="60"/>
      <c r="D5" s="60"/>
      <c r="J5" s="63"/>
      <c r="K5" s="64"/>
      <c r="L5" s="64"/>
      <c r="M5" s="64"/>
      <c r="N5" s="64"/>
      <c r="O5" s="64"/>
      <c r="P5" s="64"/>
      <c r="Q5" s="64"/>
      <c r="R5" s="64"/>
      <c r="S5" s="64"/>
      <c r="T5" s="64"/>
      <c r="U5" s="64"/>
      <c r="V5" s="64"/>
      <c r="W5" s="64"/>
      <c r="X5" s="64"/>
      <c r="Y5" s="65"/>
    </row>
    <row r="6" spans="1:28" ht="13.5" customHeight="1" x14ac:dyDescent="0.2">
      <c r="A6" s="62"/>
      <c r="B6" s="62"/>
      <c r="C6" s="241" t="s">
        <v>0</v>
      </c>
      <c r="D6" s="224">
        <f>Data!AW4</f>
        <v>44062</v>
      </c>
      <c r="E6" s="54"/>
      <c r="F6" s="223"/>
      <c r="G6" s="223"/>
      <c r="J6" s="246" t="str">
        <f>'Start List'!D6:D7</f>
        <v>Competitor</v>
      </c>
      <c r="K6" s="246" t="str">
        <f>'Start List'!E6:E7</f>
        <v>Country</v>
      </c>
      <c r="L6" s="246" t="str">
        <f>'Start List'!H6:H7</f>
        <v>Abbr.</v>
      </c>
      <c r="M6" s="246" t="str">
        <f>'Start List'!F6:F7</f>
        <v>Cat.</v>
      </c>
      <c r="N6" s="246" t="str">
        <f>'Start List'!K6:K7</f>
        <v>65m</v>
      </c>
      <c r="O6" s="246" t="str">
        <f>'Start List'!L6:L7</f>
        <v>R10</v>
      </c>
      <c r="P6" s="246">
        <f>'Start List'!M6:M7</f>
        <v>10</v>
      </c>
      <c r="Q6" s="246" t="str">
        <f>'Start List'!N6:N7</f>
        <v/>
      </c>
      <c r="R6" s="246" t="str">
        <f>'Start List'!O6:O7</f>
        <v>50m</v>
      </c>
      <c r="S6" s="246" t="str">
        <f>'Start List'!P6:P7</f>
        <v>R10</v>
      </c>
      <c r="T6" s="246">
        <f>'Start List'!Q6:Q7</f>
        <v>10</v>
      </c>
      <c r="U6" s="246" t="str">
        <f>'Start List'!R6:R7</f>
        <v/>
      </c>
      <c r="V6" s="246" t="str">
        <f>'Start List'!S6:S7</f>
        <v>35m</v>
      </c>
      <c r="W6" s="246" t="str">
        <f>'Start List'!T6:T7</f>
        <v>R10</v>
      </c>
      <c r="X6" s="246">
        <f>'Start List'!U6:U7</f>
        <v>10</v>
      </c>
      <c r="Y6" s="246" t="str">
        <f>'Start List'!V6:V7</f>
        <v/>
      </c>
      <c r="Z6" s="246" t="str">
        <f>'Start List'!W6:W7</f>
        <v>Σ</v>
      </c>
      <c r="AA6" s="246" t="str">
        <f>'Start List'!X6:X7</f>
        <v>R10</v>
      </c>
      <c r="AB6" s="246">
        <f>'Start List'!Y6:Y7</f>
        <v>10</v>
      </c>
    </row>
    <row r="7" spans="1:28" ht="13.5" customHeight="1" x14ac:dyDescent="0.2">
      <c r="A7" s="62"/>
      <c r="B7" s="62"/>
      <c r="C7" s="241"/>
      <c r="D7" s="224">
        <f ca="1">Data!AW5</f>
        <v>44059.610003935188</v>
      </c>
      <c r="E7" s="54"/>
      <c r="F7" s="223"/>
      <c r="G7" s="223"/>
      <c r="J7" s="246"/>
      <c r="K7" s="246"/>
      <c r="L7" s="246"/>
      <c r="M7" s="246"/>
      <c r="N7" s="246"/>
      <c r="O7" s="246"/>
      <c r="P7" s="246"/>
      <c r="Q7" s="246"/>
      <c r="R7" s="246"/>
      <c r="S7" s="246"/>
      <c r="T7" s="246"/>
      <c r="U7" s="246"/>
      <c r="V7" s="246"/>
      <c r="W7" s="246"/>
      <c r="X7" s="246"/>
      <c r="Y7" s="246"/>
      <c r="Z7" s="246"/>
      <c r="AA7" s="246"/>
      <c r="AB7" s="246"/>
    </row>
    <row r="8" spans="1:28" s="70" customFormat="1" ht="6.75" customHeight="1" x14ac:dyDescent="0.2">
      <c r="A8" s="68"/>
      <c r="B8" s="68"/>
      <c r="C8" s="69"/>
      <c r="D8" s="69">
        <v>1</v>
      </c>
      <c r="E8" s="225"/>
      <c r="F8" s="225">
        <v>2</v>
      </c>
      <c r="G8" s="225">
        <v>3</v>
      </c>
      <c r="H8" s="226">
        <v>4</v>
      </c>
      <c r="I8" s="226">
        <v>5</v>
      </c>
      <c r="J8" s="71">
        <v>2</v>
      </c>
      <c r="K8" s="69">
        <v>3</v>
      </c>
      <c r="L8" s="69">
        <v>4</v>
      </c>
      <c r="M8" s="69">
        <v>5</v>
      </c>
      <c r="N8" s="69">
        <v>8</v>
      </c>
      <c r="O8" s="69">
        <v>9</v>
      </c>
      <c r="P8" s="69">
        <v>10</v>
      </c>
      <c r="Q8" s="69">
        <v>11</v>
      </c>
      <c r="R8" s="69">
        <v>12</v>
      </c>
      <c r="S8" s="69">
        <v>13</v>
      </c>
      <c r="T8" s="69">
        <v>14</v>
      </c>
      <c r="U8" s="69">
        <v>15</v>
      </c>
      <c r="V8" s="69">
        <v>16</v>
      </c>
      <c r="W8" s="69">
        <v>17</v>
      </c>
      <c r="X8" s="69">
        <v>18</v>
      </c>
      <c r="Y8" s="72">
        <v>19</v>
      </c>
      <c r="Z8" s="70">
        <v>20</v>
      </c>
      <c r="AA8" s="73">
        <v>21</v>
      </c>
      <c r="AB8" s="73">
        <v>22</v>
      </c>
    </row>
    <row r="9" spans="1:28" s="78" customFormat="1" ht="12.75" customHeight="1" x14ac:dyDescent="0.2">
      <c r="A9" s="74">
        <v>1</v>
      </c>
      <c r="B9" s="74" t="str">
        <f>IF(A9="","",VLOOKUP(SMALL('Start List'!$I$9:$I$139,A9),'Start List'!$I$9:$J$14,2,FALSE))</f>
        <v>Men</v>
      </c>
      <c r="C9" s="75" t="str">
        <f>IF(OR(B9="",COUNTIF($B$9:B9,B9)=1),"",COUNTIF($B$9:B9,B9)-1)</f>
        <v/>
      </c>
      <c r="D9" s="227" t="str">
        <f ca="1">IF(""=C9,"",LARGE(INDIRECT(VLOOKUP(B9,'Start List'!$P$9:$U$14,7,FALSE)),C9))</f>
        <v/>
      </c>
      <c r="E9" s="79" t="str">
        <f>""</f>
        <v/>
      </c>
      <c r="F9" s="80"/>
      <c r="G9" s="80"/>
      <c r="H9" s="55"/>
      <c r="I9" s="55"/>
      <c r="J9" s="77" t="str">
        <f>IF(B9&lt;&gt;B8,B9,IF($D9="","",INDEX('Start List'!$D$15:$D$139,MATCH($D9,'Start List'!$B$15:$B$139,0))))</f>
        <v>Men</v>
      </c>
      <c r="K9" s="77" t="str">
        <f ca="1">IF($D9="","",INDEX('Start List'!$E$15:$E$139,MATCH($D9,'Start List'!$B$15:$B$139,0)))</f>
        <v/>
      </c>
      <c r="L9" s="77" t="str">
        <f ca="1">IF($D9="","",INDEX('Start List'!$H$15:$H$139,MATCH($D9,'Start List'!$B$15:$B$139,0)))</f>
        <v/>
      </c>
      <c r="M9" s="79" t="str">
        <f ca="1">IF($D9="","",INDEX('Start List'!$F$15:$F$139,MATCH($D9,'Start List'!$B$15:$B$139,0)))</f>
        <v/>
      </c>
      <c r="N9" s="80" t="str">
        <f ca="1">IF($D9="","",INDEX('Start List'!K$15:K$139,MATCH($D9,'Start List'!$B$15:$B$139,0)))</f>
        <v/>
      </c>
      <c r="O9" s="80" t="str">
        <f ca="1">IF($D9="","",INDEX('Start List'!L$15:L$139,MATCH($D9,'Start List'!$B$15:$B$139,0)))</f>
        <v/>
      </c>
      <c r="P9" s="80" t="str">
        <f ca="1">IF($D9="","",INDEX('Start List'!M$15:M$139,MATCH($D9,'Start List'!$B$15:$B$139,0)))</f>
        <v/>
      </c>
      <c r="Q9" s="80" t="str">
        <f ca="1">IF($D9="","",INDEX('Start List'!N$15:N$139,MATCH($D9,'Start List'!$B$15:$B$139,0)))</f>
        <v/>
      </c>
      <c r="R9" s="80" t="str">
        <f ca="1">IF($D9="","",INDEX('Start List'!O$15:O$139,MATCH($D9,'Start List'!$B$15:$B$139,0)))</f>
        <v/>
      </c>
      <c r="S9" s="80" t="str">
        <f ca="1">IF($D9="","",INDEX('Start List'!P$15:P$139,MATCH($D9,'Start List'!$B$15:$B$139,0)))</f>
        <v/>
      </c>
      <c r="T9" s="80" t="str">
        <f ca="1">IF($D9="","",INDEX('Start List'!Q$15:Q$139,MATCH($D9,'Start List'!$B$15:$B$139,0)))</f>
        <v/>
      </c>
      <c r="U9" s="80" t="str">
        <f ca="1">IF($D9="","",INDEX('Start List'!R$15:R$139,MATCH($D9,'Start List'!$B$15:$B$139,0)))</f>
        <v/>
      </c>
      <c r="V9" s="80" t="str">
        <f ca="1">IF($D9="","",INDEX('Start List'!S$15:S$139,MATCH($D9,'Start List'!$B$15:$B$139,0)))</f>
        <v/>
      </c>
      <c r="W9" s="80" t="str">
        <f ca="1">IF($D9="","",INDEX('Start List'!T$15:T$139,MATCH($D9,'Start List'!$B$15:$B$139,0)))</f>
        <v/>
      </c>
      <c r="X9" s="80" t="str">
        <f ca="1">IF($D9="","",INDEX('Start List'!U$15:U$139,MATCH($D9,'Start List'!$B$15:$B$139,0)))</f>
        <v/>
      </c>
      <c r="Y9" s="80" t="str">
        <f ca="1">IF($D9="","",INDEX('Start List'!V$15:V$139,MATCH($D9,'Start List'!$B$15:$B$139,0)))</f>
        <v/>
      </c>
      <c r="Z9" s="80" t="str">
        <f ca="1">IF($D9="","",INDEX('Start List'!W$15:W$139,MATCH($D9,'Start List'!$B$15:$B$139,0)))</f>
        <v/>
      </c>
      <c r="AA9" s="80" t="str">
        <f ca="1">IF($D9="","",INDEX('Start List'!X$15:X$139,MATCH($D9,'Start List'!$B$15:$B$139,0)))</f>
        <v/>
      </c>
      <c r="AB9" s="80" t="str">
        <f ca="1">IF($D9="","",INDEX('Start List'!Y$15:Y$139,MATCH($D9,'Start List'!$B$15:$B$139,0)))</f>
        <v/>
      </c>
    </row>
    <row r="10" spans="1:28" ht="12.75" customHeight="1" x14ac:dyDescent="0.2">
      <c r="A10" s="59">
        <f>IF(OR(COUNT('Start List'!A:A)+COUNTIF('Start List'!$I$9:$I$14,"&lt;21")='By Category'!A9,A9=""),"",'By Category'!A9+1)</f>
        <v>2</v>
      </c>
      <c r="B10" s="74" t="str">
        <f>IF(A10="","",VLOOKUP(SMALL('Start List'!$I$9:$I$139,A10),'Start List'!$I$9:$J$14,2,FALSE))</f>
        <v>Men</v>
      </c>
      <c r="C10" s="75">
        <f>IF(OR(B10="",COUNTIF($B$9:B10,B10)=1),"",COUNTIF($B$9:B10,B10)-1)</f>
        <v>1</v>
      </c>
      <c r="D10" s="227">
        <f ca="1">IF(""=C10,"",LARGE(INDIRECT(VLOOKUP(B10,'Start List'!$J$9:$N$14,5,FALSE)),C10))</f>
        <v>869.42209800000001</v>
      </c>
      <c r="E10" s="79" t="str">
        <f>IF(C10="","",VLOOKUP(B10,Data!$AK$2:$AN$7,4,FALSE)&amp;C10)</f>
        <v>M1</v>
      </c>
      <c r="F10" s="80">
        <f>IF(COUNTIF(Data!$D$2:$D$97,'By Category'!$E10)=0,"",VLOOKUP('By Category'!$E10,Data!$D$2:$H$97,'By Category'!F$8,FALSE))</f>
        <v>1</v>
      </c>
      <c r="G10" s="80">
        <f>IF(COUNTIF(Data!$D$2:$D$97,'By Category'!$E10)=0,"",VLOOKUP('By Category'!$E10,Data!$D$2:$H$97,'By Category'!G$8,FALSE))</f>
        <v>1</v>
      </c>
      <c r="H10" s="80">
        <f>IF(COUNTIF(Data!$D$2:$D$97,'By Category'!$E10)=0,"",VLOOKUP('By Category'!$E10,Data!$D$2:$H$97,'By Category'!H$8,FALSE))</f>
        <v>5</v>
      </c>
      <c r="I10" s="80">
        <f>IF(COUNTIF(Data!$D$2:$D$97,'By Category'!$E10)=0,"",VLOOKUP('By Category'!$E10,Data!$D$2:$H$97,'By Category'!I$8,FALSE))</f>
        <v>10</v>
      </c>
      <c r="J10" s="77" t="str">
        <f ca="1">IF(B10&lt;&gt;B9,B10,IF($D10="","",INDEX('Start List'!$D$15:$D$139,MATCH($D10,'Start List'!$B$15:$B$139,0))))</f>
        <v>Korbař Bohumil</v>
      </c>
      <c r="K10" s="77" t="str">
        <f ca="1">IF($D10="","",INDEX('Start List'!$E$15:$E$139,MATCH($D10,'Start List'!$B$15:$B$139,0)))</f>
        <v>CZE - Plumlov</v>
      </c>
      <c r="L10" s="77" t="e">
        <f ca="1">IF($D10="","",INDEX('Start List'!$H$15:$H$139,MATCH($D10,'Start List'!$B$15:$B$139,0)))</f>
        <v>#N/A</v>
      </c>
      <c r="M10" s="79" t="str">
        <f ca="1">IF($D10="","",INDEX('Start List'!$F$15:$F$139,MATCH($D10,'Start List'!$B$15:$B$139,0)))</f>
        <v>M</v>
      </c>
      <c r="N10" s="80">
        <f ca="1">IF($D10="","",INDEX('Start List'!K$15:K$139,MATCH($D10,'Start List'!$B$15:$B$139,0)))</f>
        <v>280</v>
      </c>
      <c r="O10" s="80">
        <f ca="1">IF($D10="","",INDEX('Start List'!L$15:L$139,MATCH($D10,'Start List'!$B$15:$B$139,0)))</f>
        <v>9</v>
      </c>
      <c r="P10" s="80">
        <f ca="1">IF($D10="","",INDEX('Start List'!M$15:M$139,MATCH($D10,'Start List'!$B$15:$B$139,0)))</f>
        <v>5</v>
      </c>
      <c r="Q10" s="80" t="str">
        <f ca="1">IF($D10="","",INDEX('Start List'!N$15:N$139,MATCH($D10,'Start List'!$B$15:$B$139,0)))</f>
        <v/>
      </c>
      <c r="R10" s="80">
        <f ca="1">IF($D10="","",INDEX('Start List'!O$15:O$139,MATCH($D10,'Start List'!$B$15:$B$139,0)))</f>
        <v>295</v>
      </c>
      <c r="S10" s="80">
        <f ca="1">IF($D10="","",INDEX('Start List'!P$15:P$139,MATCH($D10,'Start List'!$B$15:$B$139,0)))</f>
        <v>18</v>
      </c>
      <c r="T10" s="80">
        <f ca="1">IF($D10="","",INDEX('Start List'!Q$15:Q$139,MATCH($D10,'Start List'!$B$15:$B$139,0)))</f>
        <v>7</v>
      </c>
      <c r="U10" s="80" t="str">
        <f ca="1">IF($D10="","",INDEX('Start List'!R$15:R$139,MATCH($D10,'Start List'!$B$15:$B$139,0)))</f>
        <v/>
      </c>
      <c r="V10" s="80">
        <f ca="1">IF($D10="","",INDEX('Start List'!S$15:S$139,MATCH($D10,'Start List'!$B$15:$B$139,0)))</f>
        <v>294</v>
      </c>
      <c r="W10" s="80">
        <f ca="1">IF($D10="","",INDEX('Start List'!T$15:T$139,MATCH($D10,'Start List'!$B$15:$B$139,0)))</f>
        <v>15</v>
      </c>
      <c r="X10" s="80">
        <f ca="1">IF($D10="","",INDEX('Start List'!U$15:U$139,MATCH($D10,'Start List'!$B$15:$B$139,0)))</f>
        <v>9</v>
      </c>
      <c r="Y10" s="80" t="str">
        <f ca="1">IF($D10="","",INDEX('Start List'!V$15:V$139,MATCH($D10,'Start List'!$B$15:$B$139,0)))</f>
        <v/>
      </c>
      <c r="Z10" s="80">
        <f ca="1">IF($D10="","",INDEX('Start List'!W$15:W$139,MATCH($D10,'Start List'!$B$15:$B$139,0)))</f>
        <v>869</v>
      </c>
      <c r="AA10" s="80">
        <f ca="1">IF($D10="","",INDEX('Start List'!X$15:X$139,MATCH($D10,'Start List'!$B$15:$B$139,0)))</f>
        <v>42</v>
      </c>
      <c r="AB10" s="80">
        <f ca="1">IF($D10="","",INDEX('Start List'!Y$15:Y$139,MATCH($D10,'Start List'!$B$15:$B$139,0)))</f>
        <v>21</v>
      </c>
    </row>
    <row r="11" spans="1:28" ht="12.75" customHeight="1" x14ac:dyDescent="0.2">
      <c r="A11" s="59">
        <f>IF(OR(COUNT('Start List'!A:A)+COUNTIF('Start List'!$I$9:$I$14,"&lt;21")='By Category'!A10,A10=""),"",'By Category'!A10+1)</f>
        <v>3</v>
      </c>
      <c r="B11" s="74" t="str">
        <f>IF(A11="","",VLOOKUP(SMALL('Start List'!$I$9:$I$139,A11),'Start List'!$I$9:$J$14,2,FALSE))</f>
        <v>Men</v>
      </c>
      <c r="C11" s="75">
        <f>IF(OR(B11="",COUNTIF($B$9:B11,B11)=1),"",COUNTIF($B$9:B11,B11)-1)</f>
        <v>2</v>
      </c>
      <c r="D11" s="227">
        <f ca="1">IF(""=C11,"",LARGE(INDIRECT(VLOOKUP(B11,'Start List'!$J$9:$N$14,5,FALSE)),C11))</f>
        <v>865.40199899999993</v>
      </c>
      <c r="E11" s="79" t="str">
        <f>IF(C11="","",VLOOKUP(B11,Data!$AK$2:$AN$7,4,FALSE)&amp;C11)</f>
        <v>M2</v>
      </c>
      <c r="F11" s="80">
        <f>IF(COUNTIF(Data!$D$2:$D$97,'By Category'!$E11)=0,"",VLOOKUP('By Category'!$E11,Data!$D$2:$H$97,'By Category'!F$8,FALSE))</f>
        <v>9</v>
      </c>
      <c r="G11" s="80">
        <f>IF(COUNTIF(Data!$D$2:$D$97,'By Category'!$E11)=0,"",VLOOKUP('By Category'!$E11,Data!$D$2:$H$97,'By Category'!G$8,FALSE))</f>
        <v>5</v>
      </c>
      <c r="H11" s="80">
        <f>IF(COUNTIF(Data!$D$2:$D$97,'By Category'!$E11)=0,"",VLOOKUP('By Category'!$E11,Data!$D$2:$H$97,'By Category'!H$8,FALSE))</f>
        <v>2</v>
      </c>
      <c r="I11" s="80">
        <f>IF(COUNTIF(Data!$D$2:$D$97,'By Category'!$E11)=0,"",VLOOKUP('By Category'!$E11,Data!$D$2:$H$97,'By Category'!I$8,FALSE))</f>
        <v>11</v>
      </c>
      <c r="J11" s="77" t="str">
        <f ca="1">IF(B11&lt;&gt;B10,B11,IF($D11="","",INDEX('Start List'!$D$15:$D$139,MATCH($D11,'Start List'!$B$15:$B$139,0))))</f>
        <v>Pereglin Domagoj</v>
      </c>
      <c r="K11" s="77" t="str">
        <f ca="1">IF($D11="","",INDEX('Start List'!$E$15:$E$139,MATCH($D11,'Start List'!$B$15:$B$139,0)))</f>
        <v>CRO</v>
      </c>
      <c r="L11" s="77" t="e">
        <f ca="1">IF($D11="","",INDEX('Start List'!$H$15:$H$139,MATCH($D11,'Start List'!$B$15:$B$139,0)))</f>
        <v>#N/A</v>
      </c>
      <c r="M11" s="79" t="str">
        <f ca="1">IF($D11="","",INDEX('Start List'!$F$15:$F$139,MATCH($D11,'Start List'!$B$15:$B$139,0)))</f>
        <v>M</v>
      </c>
      <c r="N11" s="80">
        <f ca="1">IF($D11="","",INDEX('Start List'!K$15:K$139,MATCH($D11,'Start List'!$B$15:$B$139,0)))</f>
        <v>280</v>
      </c>
      <c r="O11" s="80">
        <f ca="1">IF($D11="","",INDEX('Start List'!L$15:L$139,MATCH($D11,'Start List'!$B$15:$B$139,0)))</f>
        <v>8</v>
      </c>
      <c r="P11" s="80">
        <f ca="1">IF($D11="","",INDEX('Start List'!M$15:M$139,MATCH($D11,'Start List'!$B$15:$B$139,0)))</f>
        <v>6</v>
      </c>
      <c r="Q11" s="80" t="str">
        <f ca="1">IF($D11="","",INDEX('Start List'!N$15:N$139,MATCH($D11,'Start List'!$B$15:$B$139,0)))</f>
        <v/>
      </c>
      <c r="R11" s="80">
        <f ca="1">IF($D11="","",INDEX('Start List'!O$15:O$139,MATCH($D11,'Start List'!$B$15:$B$139,0)))</f>
        <v>293</v>
      </c>
      <c r="S11" s="80">
        <f ca="1">IF($D11="","",INDEX('Start List'!P$15:P$139,MATCH($D11,'Start List'!$B$15:$B$139,0)))</f>
        <v>15</v>
      </c>
      <c r="T11" s="80">
        <f ca="1">IF($D11="","",INDEX('Start List'!Q$15:Q$139,MATCH($D11,'Start List'!$B$15:$B$139,0)))</f>
        <v>9</v>
      </c>
      <c r="U11" s="80" t="str">
        <f ca="1">IF($D11="","",INDEX('Start List'!R$15:R$139,MATCH($D11,'Start List'!$B$15:$B$139,0)))</f>
        <v/>
      </c>
      <c r="V11" s="80">
        <f ca="1">IF($D11="","",INDEX('Start List'!S$15:S$139,MATCH($D11,'Start List'!$B$15:$B$139,0)))</f>
        <v>292</v>
      </c>
      <c r="W11" s="80">
        <f ca="1">IF($D11="","",INDEX('Start List'!T$15:T$139,MATCH($D11,'Start List'!$B$15:$B$139,0)))</f>
        <v>17</v>
      </c>
      <c r="X11" s="80">
        <f ca="1">IF($D11="","",INDEX('Start List'!U$15:U$139,MATCH($D11,'Start List'!$B$15:$B$139,0)))</f>
        <v>5</v>
      </c>
      <c r="Y11" s="80" t="str">
        <f ca="1">IF($D11="","",INDEX('Start List'!V$15:V$139,MATCH($D11,'Start List'!$B$15:$B$139,0)))</f>
        <v/>
      </c>
      <c r="Z11" s="80">
        <f ca="1">IF($D11="","",INDEX('Start List'!W$15:W$139,MATCH($D11,'Start List'!$B$15:$B$139,0)))</f>
        <v>865</v>
      </c>
      <c r="AA11" s="80">
        <f ca="1">IF($D11="","",INDEX('Start List'!X$15:X$139,MATCH($D11,'Start List'!$B$15:$B$139,0)))</f>
        <v>40</v>
      </c>
      <c r="AB11" s="80">
        <f ca="1">IF($D11="","",INDEX('Start List'!Y$15:Y$139,MATCH($D11,'Start List'!$B$15:$B$139,0)))</f>
        <v>20</v>
      </c>
    </row>
    <row r="12" spans="1:28" ht="12.75" customHeight="1" x14ac:dyDescent="0.2">
      <c r="A12" s="59">
        <f>IF(OR(COUNT('Start List'!A:A)+COUNTIF('Start List'!$I$9:$I$14,"&lt;21")='By Category'!A11,A11=""),"",'By Category'!A11+1)</f>
        <v>4</v>
      </c>
      <c r="B12" s="74" t="str">
        <f>IF(A12="","",VLOOKUP(SMALL('Start List'!$I$9:$I$139,A12),'Start List'!$I$9:$J$14,2,FALSE))</f>
        <v>Men</v>
      </c>
      <c r="C12" s="75">
        <f>IF(OR(B12="",COUNTIF($B$9:B12,B12)=1),"",COUNTIF($B$9:B12,B12)-1)</f>
        <v>3</v>
      </c>
      <c r="D12" s="227">
        <f ca="1">IF(""=C12,"",LARGE(INDIRECT(VLOOKUP(B12,'Start List'!$J$9:$N$14,5,FALSE)),C12))</f>
        <v>840.3211960000001</v>
      </c>
      <c r="E12" s="79" t="str">
        <f>IF(C12="","",VLOOKUP(B12,Data!$AK$2:$AN$7,4,FALSE)&amp;C12)</f>
        <v>M3</v>
      </c>
      <c r="F12" s="80">
        <f>IF(COUNTIF(Data!$D$2:$D$97,'By Category'!$E12)=0,"",VLOOKUP('By Category'!$E12,Data!$D$2:$H$97,'By Category'!F$8,FALSE))</f>
        <v>13</v>
      </c>
      <c r="G12" s="80">
        <f>IF(COUNTIF(Data!$D$2:$D$97,'By Category'!$E12)=0,"",VLOOKUP('By Category'!$E12,Data!$D$2:$H$97,'By Category'!G$8,FALSE))</f>
        <v>7</v>
      </c>
      <c r="H12" s="80">
        <f>IF(COUNTIF(Data!$D$2:$D$97,'By Category'!$E12)=0,"",VLOOKUP('By Category'!$E12,Data!$D$2:$H$97,'By Category'!H$8,FALSE))</f>
        <v>3</v>
      </c>
      <c r="I12" s="80">
        <f>IF(COUNTIF(Data!$D$2:$D$97,'By Category'!$E12)=0,"",VLOOKUP('By Category'!$E12,Data!$D$2:$H$97,'By Category'!I$8,FALSE))</f>
        <v>11</v>
      </c>
      <c r="J12" s="77" t="str">
        <f ca="1">IF(B12&lt;&gt;B11,B12,IF($D12="","",INDEX('Start List'!$D$15:$D$139,MATCH($D12,'Start List'!$B$15:$B$139,0))))</f>
        <v>Sváb Sándor</v>
      </c>
      <c r="K12" s="77" t="str">
        <f ca="1">IF($D12="","",INDEX('Start List'!$E$15:$E$139,MATCH($D12,'Start List'!$B$15:$B$139,0)))</f>
        <v>HUN - Hungarian Shooting Federation</v>
      </c>
      <c r="L12" s="77" t="e">
        <f ca="1">IF($D12="","",INDEX('Start List'!$H$15:$H$139,MATCH($D12,'Start List'!$B$15:$B$139,0)))</f>
        <v>#N/A</v>
      </c>
      <c r="M12" s="79" t="str">
        <f ca="1">IF($D12="","",INDEX('Start List'!$F$15:$F$139,MATCH($D12,'Start List'!$B$15:$B$139,0)))</f>
        <v>M</v>
      </c>
      <c r="N12" s="80">
        <f ca="1">IF($D12="","",INDEX('Start List'!K$15:K$139,MATCH($D12,'Start List'!$B$15:$B$139,0)))</f>
        <v>268</v>
      </c>
      <c r="O12" s="80">
        <f ca="1">IF($D12="","",INDEX('Start List'!L$15:L$139,MATCH($D12,'Start List'!$B$15:$B$139,0)))</f>
        <v>7</v>
      </c>
      <c r="P12" s="80">
        <f ca="1">IF($D12="","",INDEX('Start List'!M$15:M$139,MATCH($D12,'Start List'!$B$15:$B$139,0)))</f>
        <v>1</v>
      </c>
      <c r="Q12" s="80" t="str">
        <f ca="1">IF($D12="","",INDEX('Start List'!N$15:N$139,MATCH($D12,'Start List'!$B$15:$B$139,0)))</f>
        <v/>
      </c>
      <c r="R12" s="80">
        <f ca="1">IF($D12="","",INDEX('Start List'!O$15:O$139,MATCH($D12,'Start List'!$B$15:$B$139,0)))</f>
        <v>283</v>
      </c>
      <c r="S12" s="80">
        <f ca="1">IF($D12="","",INDEX('Start List'!P$15:P$139,MATCH($D12,'Start List'!$B$15:$B$139,0)))</f>
        <v>12</v>
      </c>
      <c r="T12" s="80">
        <f ca="1">IF($D12="","",INDEX('Start List'!Q$15:Q$139,MATCH($D12,'Start List'!$B$15:$B$139,0)))</f>
        <v>4</v>
      </c>
      <c r="U12" s="80" t="str">
        <f ca="1">IF($D12="","",INDEX('Start List'!R$15:R$139,MATCH($D12,'Start List'!$B$15:$B$139,0)))</f>
        <v/>
      </c>
      <c r="V12" s="80">
        <f ca="1">IF($D12="","",INDEX('Start List'!S$15:S$139,MATCH($D12,'Start List'!$B$15:$B$139,0)))</f>
        <v>289</v>
      </c>
      <c r="W12" s="80">
        <f ca="1">IF($D12="","",INDEX('Start List'!T$15:T$139,MATCH($D12,'Start List'!$B$15:$B$139,0)))</f>
        <v>13</v>
      </c>
      <c r="X12" s="80">
        <f ca="1">IF($D12="","",INDEX('Start List'!U$15:U$139,MATCH($D12,'Start List'!$B$15:$B$139,0)))</f>
        <v>7</v>
      </c>
      <c r="Y12" s="80" t="str">
        <f ca="1">IF($D12="","",INDEX('Start List'!V$15:V$139,MATCH($D12,'Start List'!$B$15:$B$139,0)))</f>
        <v/>
      </c>
      <c r="Z12" s="80">
        <f ca="1">IF($D12="","",INDEX('Start List'!W$15:W$139,MATCH($D12,'Start List'!$B$15:$B$139,0)))</f>
        <v>840</v>
      </c>
      <c r="AA12" s="80">
        <f ca="1">IF($D12="","",INDEX('Start List'!X$15:X$139,MATCH($D12,'Start List'!$B$15:$B$139,0)))</f>
        <v>32</v>
      </c>
      <c r="AB12" s="80">
        <f ca="1">IF($D12="","",INDEX('Start List'!Y$15:Y$139,MATCH($D12,'Start List'!$B$15:$B$139,0)))</f>
        <v>12</v>
      </c>
    </row>
    <row r="13" spans="1:28" s="78" customFormat="1" ht="12.75" customHeight="1" x14ac:dyDescent="0.2">
      <c r="A13" s="59">
        <f>IF(OR(COUNT('Start List'!A:A)+COUNTIF('Start List'!$I$9:$I$14,"&lt;21")='By Category'!A12,A12=""),"",'By Category'!A12+1)</f>
        <v>5</v>
      </c>
      <c r="B13" s="74" t="str">
        <f>IF(A13="","",VLOOKUP(SMALL('Start List'!$I$9:$I$139,A13),'Start List'!$I$9:$J$14,2,FALSE))</f>
        <v>Men</v>
      </c>
      <c r="C13" s="75">
        <f>IF(OR(B13="",COUNTIF($B$9:B13,B13)=1),"",COUNTIF($B$9:B13,B13)-1)</f>
        <v>4</v>
      </c>
      <c r="D13" s="227">
        <f ca="1">IF(""=C13,"",LARGE(INDIRECT(VLOOKUP(B13,'Start List'!$J$9:$N$14,5,FALSE)),C13))</f>
        <v>810.17109699999992</v>
      </c>
      <c r="E13" s="79" t="str">
        <f>IF(C13="","",VLOOKUP(B13,Data!$AK$2:$AN$7,4,FALSE)&amp;C13)</f>
        <v>M4</v>
      </c>
      <c r="F13" s="80">
        <f>IF(COUNTIF(Data!$D$2:$D$97,'By Category'!$E13)=0,"",VLOOKUP('By Category'!$E13,Data!$D$2:$H$97,'By Category'!F$8,FALSE))</f>
        <v>5</v>
      </c>
      <c r="G13" s="80">
        <f>IF(COUNTIF(Data!$D$2:$D$97,'By Category'!$E13)=0,"",VLOOKUP('By Category'!$E13,Data!$D$2:$H$97,'By Category'!G$8,FALSE))</f>
        <v>3</v>
      </c>
      <c r="H13" s="80">
        <f>IF(COUNTIF(Data!$D$2:$D$97,'By Category'!$E13)=0,"",VLOOKUP('By Category'!$E13,Data!$D$2:$H$97,'By Category'!H$8,FALSE))</f>
        <v>6</v>
      </c>
      <c r="I13" s="80">
        <f>IF(COUNTIF(Data!$D$2:$D$97,'By Category'!$E13)=0,"",VLOOKUP('By Category'!$E13,Data!$D$2:$H$97,'By Category'!I$8,FALSE))</f>
        <v>10</v>
      </c>
      <c r="J13" s="77" t="str">
        <f ca="1">IF(B13&lt;&gt;B12,B13,IF($D13="","",INDEX('Start List'!$D$15:$D$139,MATCH($D13,'Start List'!$B$15:$B$139,0))))</f>
        <v xml:space="preserve">Tijan Željko </v>
      </c>
      <c r="K13" s="77" t="str">
        <f ca="1">IF($D13="","",INDEX('Start List'!$E$15:$E$139,MATCH($D13,'Start List'!$B$15:$B$139,0)))</f>
        <v>CRO</v>
      </c>
      <c r="L13" s="77" t="e">
        <f ca="1">IF($D13="","",INDEX('Start List'!$H$15:$H$139,MATCH($D13,'Start List'!$B$15:$B$139,0)))</f>
        <v>#N/A</v>
      </c>
      <c r="M13" s="79" t="str">
        <f ca="1">IF($D13="","",INDEX('Start List'!$F$15:$F$139,MATCH($D13,'Start List'!$B$15:$B$139,0)))</f>
        <v>M</v>
      </c>
      <c r="N13" s="80">
        <f ca="1">IF($D13="","",INDEX('Start List'!K$15:K$139,MATCH($D13,'Start List'!$B$15:$B$139,0)))</f>
        <v>256</v>
      </c>
      <c r="O13" s="80">
        <f ca="1">IF($D13="","",INDEX('Start List'!L$15:L$139,MATCH($D13,'Start List'!$B$15:$B$139,0)))</f>
        <v>3</v>
      </c>
      <c r="P13" s="80">
        <f ca="1">IF($D13="","",INDEX('Start List'!M$15:M$139,MATCH($D13,'Start List'!$B$15:$B$139,0)))</f>
        <v>2</v>
      </c>
      <c r="Q13" s="80" t="str">
        <f ca="1">IF($D13="","",INDEX('Start List'!N$15:N$139,MATCH($D13,'Start List'!$B$15:$B$139,0)))</f>
        <v/>
      </c>
      <c r="R13" s="80">
        <f ca="1">IF($D13="","",INDEX('Start List'!O$15:O$139,MATCH($D13,'Start List'!$B$15:$B$139,0)))</f>
        <v>277</v>
      </c>
      <c r="S13" s="80">
        <f ca="1">IF($D13="","",INDEX('Start List'!P$15:P$139,MATCH($D13,'Start List'!$B$15:$B$139,0)))</f>
        <v>6</v>
      </c>
      <c r="T13" s="80">
        <f ca="1">IF($D13="","",INDEX('Start List'!Q$15:Q$139,MATCH($D13,'Start List'!$B$15:$B$139,0)))</f>
        <v>4</v>
      </c>
      <c r="U13" s="80" t="str">
        <f ca="1">IF($D13="","",INDEX('Start List'!R$15:R$139,MATCH($D13,'Start List'!$B$15:$B$139,0)))</f>
        <v/>
      </c>
      <c r="V13" s="80">
        <f ca="1">IF($D13="","",INDEX('Start List'!S$15:S$139,MATCH($D13,'Start List'!$B$15:$B$139,0)))</f>
        <v>277</v>
      </c>
      <c r="W13" s="80">
        <f ca="1">IF($D13="","",INDEX('Start List'!T$15:T$139,MATCH($D13,'Start List'!$B$15:$B$139,0)))</f>
        <v>8</v>
      </c>
      <c r="X13" s="80">
        <f ca="1">IF($D13="","",INDEX('Start List'!U$15:U$139,MATCH($D13,'Start List'!$B$15:$B$139,0)))</f>
        <v>5</v>
      </c>
      <c r="Y13" s="80" t="str">
        <f ca="1">IF($D13="","",INDEX('Start List'!V$15:V$139,MATCH($D13,'Start List'!$B$15:$B$139,0)))</f>
        <v/>
      </c>
      <c r="Z13" s="80">
        <f ca="1">IF($D13="","",INDEX('Start List'!W$15:W$139,MATCH($D13,'Start List'!$B$15:$B$139,0)))</f>
        <v>810</v>
      </c>
      <c r="AA13" s="80">
        <f ca="1">IF($D13="","",INDEX('Start List'!X$15:X$139,MATCH($D13,'Start List'!$B$15:$B$139,0)))</f>
        <v>17</v>
      </c>
      <c r="AB13" s="80">
        <f ca="1">IF($D13="","",INDEX('Start List'!Y$15:Y$139,MATCH($D13,'Start List'!$B$15:$B$139,0)))</f>
        <v>11</v>
      </c>
    </row>
    <row r="14" spans="1:28" ht="12.75" customHeight="1" x14ac:dyDescent="0.2">
      <c r="A14" s="59">
        <f>IF(OR(COUNT('Start List'!A:A)+COUNTIF('Start List'!$I$9:$I$14,"&lt;21")='By Category'!A13,A13=""),"",'By Category'!A13+1)</f>
        <v>6</v>
      </c>
      <c r="B14" s="74" t="str">
        <f>IF(A14="","",VLOOKUP(SMALL('Start List'!$I$9:$I$139,A14),'Start List'!$I$9:$J$14,2,FALSE))</f>
        <v>Women</v>
      </c>
      <c r="C14" s="75" t="str">
        <f>IF(OR(B14="",COUNTIF($B$9:B14,B14)=1),"",COUNTIF($B$9:B14,B14)-1)</f>
        <v/>
      </c>
      <c r="D14" s="227" t="str">
        <f ca="1">IF(""=C14,"",LARGE(INDIRECT(VLOOKUP(B14,'Start List'!$J$9:$N$14,5,FALSE)),C14))</f>
        <v/>
      </c>
      <c r="E14" s="79" t="str">
        <f>IF(C14="","",VLOOKUP(B14,Data!$AK$2:$AN$7,4,FALSE)&amp;C14)</f>
        <v/>
      </c>
      <c r="F14" s="80" t="str">
        <f>IF(COUNTIF(Data!$D$2:$D$97,'By Category'!$E14)=0,"",VLOOKUP('By Category'!$E14,Data!$D$2:$H$97,'By Category'!F$8,FALSE))</f>
        <v/>
      </c>
      <c r="G14" s="80" t="str">
        <f>IF(COUNTIF(Data!$D$2:$D$97,'By Category'!$E14)=0,"",VLOOKUP('By Category'!$E14,Data!$D$2:$H$97,'By Category'!G$8,FALSE))</f>
        <v/>
      </c>
      <c r="H14" s="80" t="str">
        <f>IF(COUNTIF(Data!$D$2:$D$97,'By Category'!$E14)=0,"",VLOOKUP('By Category'!$E14,Data!$D$2:$H$97,'By Category'!H$8,FALSE))</f>
        <v/>
      </c>
      <c r="I14" s="80" t="str">
        <f>IF(COUNTIF(Data!$D$2:$D$97,'By Category'!$E14)=0,"",VLOOKUP('By Category'!$E14,Data!$D$2:$H$97,'By Category'!I$8,FALSE))</f>
        <v/>
      </c>
      <c r="J14" s="77" t="str">
        <f>IF(B14&lt;&gt;B13,B14,IF($D14="","",INDEX('Start List'!$D$15:$D$139,MATCH($D14,'Start List'!$B$15:$B$139,0))))</f>
        <v>Women</v>
      </c>
      <c r="K14" s="77" t="str">
        <f ca="1">IF($D14="","",INDEX('Start List'!$E$15:$E$139,MATCH($D14,'Start List'!$B$15:$B$139,0)))</f>
        <v/>
      </c>
      <c r="L14" s="77" t="str">
        <f ca="1">IF($D14="","",INDEX('Start List'!$H$15:$H$139,MATCH($D14,'Start List'!$B$15:$B$139,0)))</f>
        <v/>
      </c>
      <c r="M14" s="79" t="str">
        <f ca="1">IF($D14="","",INDEX('Start List'!$F$15:$F$139,MATCH($D14,'Start List'!$B$15:$B$139,0)))</f>
        <v/>
      </c>
      <c r="N14" s="80" t="str">
        <f ca="1">IF($D14="","",INDEX('Start List'!K$15:K$139,MATCH($D14,'Start List'!$B$15:$B$139,0)))</f>
        <v/>
      </c>
      <c r="O14" s="80" t="str">
        <f ca="1">IF($D14="","",INDEX('Start List'!L$15:L$139,MATCH($D14,'Start List'!$B$15:$B$139,0)))</f>
        <v/>
      </c>
      <c r="P14" s="80" t="str">
        <f ca="1">IF($D14="","",INDEX('Start List'!M$15:M$139,MATCH($D14,'Start List'!$B$15:$B$139,0)))</f>
        <v/>
      </c>
      <c r="Q14" s="80" t="str">
        <f ca="1">IF($D14="","",INDEX('Start List'!N$15:N$139,MATCH($D14,'Start List'!$B$15:$B$139,0)))</f>
        <v/>
      </c>
      <c r="R14" s="80" t="str">
        <f ca="1">IF($D14="","",INDEX('Start List'!O$15:O$139,MATCH($D14,'Start List'!$B$15:$B$139,0)))</f>
        <v/>
      </c>
      <c r="S14" s="80" t="str">
        <f ca="1">IF($D14="","",INDEX('Start List'!P$15:P$139,MATCH($D14,'Start List'!$B$15:$B$139,0)))</f>
        <v/>
      </c>
      <c r="T14" s="80" t="str">
        <f ca="1">IF($D14="","",INDEX('Start List'!Q$15:Q$139,MATCH($D14,'Start List'!$B$15:$B$139,0)))</f>
        <v/>
      </c>
      <c r="U14" s="80" t="str">
        <f ca="1">IF($D14="","",INDEX('Start List'!R$15:R$139,MATCH($D14,'Start List'!$B$15:$B$139,0)))</f>
        <v/>
      </c>
      <c r="V14" s="80" t="str">
        <f ca="1">IF($D14="","",INDEX('Start List'!S$15:S$139,MATCH($D14,'Start List'!$B$15:$B$139,0)))</f>
        <v/>
      </c>
      <c r="W14" s="80" t="str">
        <f ca="1">IF($D14="","",INDEX('Start List'!T$15:T$139,MATCH($D14,'Start List'!$B$15:$B$139,0)))</f>
        <v/>
      </c>
      <c r="X14" s="80" t="str">
        <f ca="1">IF($D14="","",INDEX('Start List'!U$15:U$139,MATCH($D14,'Start List'!$B$15:$B$139,0)))</f>
        <v/>
      </c>
      <c r="Y14" s="80" t="str">
        <f ca="1">IF($D14="","",INDEX('Start List'!V$15:V$139,MATCH($D14,'Start List'!$B$15:$B$139,0)))</f>
        <v/>
      </c>
      <c r="Z14" s="80" t="str">
        <f ca="1">IF($D14="","",INDEX('Start List'!W$15:W$139,MATCH($D14,'Start List'!$B$15:$B$139,0)))</f>
        <v/>
      </c>
      <c r="AA14" s="80" t="str">
        <f ca="1">IF($D14="","",INDEX('Start List'!X$15:X$139,MATCH($D14,'Start List'!$B$15:$B$139,0)))</f>
        <v/>
      </c>
      <c r="AB14" s="80" t="str">
        <f ca="1">IF($D14="","",INDEX('Start List'!Y$15:Y$139,MATCH($D14,'Start List'!$B$15:$B$139,0)))</f>
        <v/>
      </c>
    </row>
    <row r="15" spans="1:28" ht="12.75" customHeight="1" x14ac:dyDescent="0.2">
      <c r="A15" s="59">
        <f>IF(OR(COUNT('Start List'!A:A)+COUNTIF('Start List'!$I$9:$I$14,"&lt;21")='By Category'!A14,A14=""),"",'By Category'!A14+1)</f>
        <v>7</v>
      </c>
      <c r="B15" s="74" t="str">
        <f>IF(A15="","",VLOOKUP(SMALL('Start List'!$I$9:$I$139,A15),'Start List'!$I$9:$J$14,2,FALSE))</f>
        <v>Women</v>
      </c>
      <c r="C15" s="75">
        <f>IF(OR(B15="",COUNTIF($B$9:B15,B15)=1),"",COUNTIF($B$9:B15,B15)-1)</f>
        <v>1</v>
      </c>
      <c r="D15" s="227">
        <f ca="1">IF(""=C15,"",LARGE(INDIRECT(VLOOKUP(B15,'Start List'!$J$9:$N$14,5,FALSE)),C15))</f>
        <v>864.42189199999996</v>
      </c>
      <c r="E15" s="79" t="str">
        <f>IF(C15="","",VLOOKUP(B15,Data!$AK$2:$AN$7,4,FALSE)&amp;C15)</f>
        <v>W1</v>
      </c>
      <c r="F15" s="80">
        <f ca="1">IF(COUNTIF(Data!$D$2:$D$97,'By Category'!$E15)=0,"",VLOOKUP('By Category'!$E15,Data!$D$2:$H$97,'By Category'!F$8,FALSE))</f>
        <v>18</v>
      </c>
      <c r="G15" s="80">
        <f ca="1">IF(COUNTIF(Data!$D$2:$D$97,'By Category'!$E15)=0,"",VLOOKUP('By Category'!$E15,Data!$D$2:$H$97,'By Category'!G$8,FALSE))</f>
        <v>10</v>
      </c>
      <c r="H15" s="80">
        <f>IF(COUNTIF(Data!$D$2:$D$97,'By Category'!$E15)=0,"",VLOOKUP('By Category'!$E15,Data!$D$2:$H$97,'By Category'!H$8,FALSE))</f>
        <v>8</v>
      </c>
      <c r="I15" s="80">
        <f>IF(COUNTIF(Data!$D$2:$D$97,'By Category'!$E15)=0,"",VLOOKUP('By Category'!$E15,Data!$D$2:$H$97,'By Category'!I$8,FALSE))</f>
        <v>5</v>
      </c>
      <c r="J15" s="77" t="str">
        <f ca="1">IF(B15&lt;&gt;B14,B15,IF($D15="","",INDEX('Start List'!$D$15:$D$139,MATCH($D15,'Start List'!$B$15:$B$139,0))))</f>
        <v>Pereglin Valentina</v>
      </c>
      <c r="K15" s="77" t="str">
        <f ca="1">IF($D15="","",INDEX('Start List'!$E$15:$E$139,MATCH($D15,'Start List'!$B$15:$B$139,0)))</f>
        <v>CRO</v>
      </c>
      <c r="L15" s="77" t="e">
        <f ca="1">IF($D15="","",INDEX('Start List'!$H$15:$H$139,MATCH($D15,'Start List'!$B$15:$B$139,0)))</f>
        <v>#N/A</v>
      </c>
      <c r="M15" s="79" t="str">
        <f ca="1">IF($D15="","",INDEX('Start List'!$F$15:$F$139,MATCH($D15,'Start List'!$B$15:$B$139,0)))</f>
        <v>W</v>
      </c>
      <c r="N15" s="80">
        <f ca="1">IF($D15="","",INDEX('Start List'!K$15:K$139,MATCH($D15,'Start List'!$B$15:$B$139,0)))</f>
        <v>280</v>
      </c>
      <c r="O15" s="80">
        <f ca="1">IF($D15="","",INDEX('Start List'!L$15:L$139,MATCH($D15,'Start List'!$B$15:$B$139,0)))</f>
        <v>12</v>
      </c>
      <c r="P15" s="80">
        <f ca="1">IF($D15="","",INDEX('Start List'!M$15:M$139,MATCH($D15,'Start List'!$B$15:$B$139,0)))</f>
        <v>4</v>
      </c>
      <c r="Q15" s="80" t="str">
        <f ca="1">IF($D15="","",INDEX('Start List'!N$15:N$139,MATCH($D15,'Start List'!$B$15:$B$139,0)))</f>
        <v/>
      </c>
      <c r="R15" s="80">
        <f ca="1">IF($D15="","",INDEX('Start List'!O$15:O$139,MATCH($D15,'Start List'!$B$15:$B$139,0)))</f>
        <v>294</v>
      </c>
      <c r="S15" s="80">
        <f ca="1">IF($D15="","",INDEX('Start List'!P$15:P$139,MATCH($D15,'Start List'!$B$15:$B$139,0)))</f>
        <v>16</v>
      </c>
      <c r="T15" s="80">
        <f ca="1">IF($D15="","",INDEX('Start List'!Q$15:Q$139,MATCH($D15,'Start List'!$B$15:$B$139,0)))</f>
        <v>8</v>
      </c>
      <c r="U15" s="80" t="str">
        <f ca="1">IF($D15="","",INDEX('Start List'!R$15:R$139,MATCH($D15,'Start List'!$B$15:$B$139,0)))</f>
        <v/>
      </c>
      <c r="V15" s="80">
        <f ca="1">IF($D15="","",INDEX('Start List'!S$15:S$139,MATCH($D15,'Start List'!$B$15:$B$139,0)))</f>
        <v>290</v>
      </c>
      <c r="W15" s="80">
        <f ca="1">IF($D15="","",INDEX('Start List'!T$15:T$139,MATCH($D15,'Start List'!$B$15:$B$139,0)))</f>
        <v>14</v>
      </c>
      <c r="X15" s="80">
        <f ca="1">IF($D15="","",INDEX('Start List'!U$15:U$139,MATCH($D15,'Start List'!$B$15:$B$139,0)))</f>
        <v>7</v>
      </c>
      <c r="Y15" s="80" t="str">
        <f ca="1">IF($D15="","",INDEX('Start List'!V$15:V$139,MATCH($D15,'Start List'!$B$15:$B$139,0)))</f>
        <v/>
      </c>
      <c r="Z15" s="80">
        <f ca="1">IF($D15="","",INDEX('Start List'!W$15:W$139,MATCH($D15,'Start List'!$B$15:$B$139,0)))</f>
        <v>864</v>
      </c>
      <c r="AA15" s="80">
        <f ca="1">IF($D15="","",INDEX('Start List'!X$15:X$139,MATCH($D15,'Start List'!$B$15:$B$139,0)))</f>
        <v>42</v>
      </c>
      <c r="AB15" s="80">
        <f ca="1">IF($D15="","",INDEX('Start List'!Y$15:Y$139,MATCH($D15,'Start List'!$B$15:$B$139,0)))</f>
        <v>19</v>
      </c>
    </row>
    <row r="16" spans="1:28" ht="12.75" customHeight="1" x14ac:dyDescent="0.2">
      <c r="A16" s="59">
        <f>IF(OR(COUNT('Start List'!A:A)+COUNTIF('Start List'!$I$9:$I$14,"&lt;21")='By Category'!A15,A15=""),"",'By Category'!A15+1)</f>
        <v>8</v>
      </c>
      <c r="B16" s="74" t="str">
        <f>IF(A16="","",VLOOKUP(SMALL('Start List'!$I$9:$I$139,A16),'Start List'!$I$9:$J$14,2,FALSE))</f>
        <v>Women</v>
      </c>
      <c r="C16" s="75">
        <f>IF(OR(B16="",COUNTIF($B$9:B16,B16)=1),"",COUNTIF($B$9:B16,B16)-1)</f>
        <v>2</v>
      </c>
      <c r="D16" s="227">
        <f ca="1">IF(""=C16,"",LARGE(INDIRECT(VLOOKUP(B16,'Start List'!$J$9:$N$14,5,FALSE)),C16))</f>
        <v>863.38239399999998</v>
      </c>
      <c r="E16" s="79" t="str">
        <f>IF(C16="","",VLOOKUP(B16,Data!$AK$2:$AN$7,4,FALSE)&amp;C16)</f>
        <v>W2</v>
      </c>
      <c r="F16" s="80">
        <f ca="1">IF(COUNTIF(Data!$D$2:$D$97,'By Category'!$E16)=0,"",VLOOKUP('By Category'!$E16,Data!$D$2:$H$97,'By Category'!F$8,FALSE))</f>
        <v>25</v>
      </c>
      <c r="G16" s="80">
        <f ca="1">IF(COUNTIF(Data!$D$2:$D$97,'By Category'!$E16)=0,"",VLOOKUP('By Category'!$E16,Data!$D$2:$H$97,'By Category'!G$8,FALSE))</f>
        <v>14</v>
      </c>
      <c r="H16" s="80">
        <f>IF(COUNTIF(Data!$D$2:$D$97,'By Category'!$E16)=0,"",VLOOKUP('By Category'!$E16,Data!$D$2:$H$97,'By Category'!H$8,FALSE))</f>
        <v>11</v>
      </c>
      <c r="I16" s="80">
        <f>IF(COUNTIF(Data!$D$2:$D$97,'By Category'!$E16)=0,"",VLOOKUP('By Category'!$E16,Data!$D$2:$H$97,'By Category'!I$8,FALSE))</f>
        <v>6</v>
      </c>
      <c r="J16" s="77" t="str">
        <f ca="1">IF(B16&lt;&gt;B15,B16,IF($D16="","",INDEX('Start List'!$D$15:$D$139,MATCH($D16,'Start List'!$B$15:$B$139,0))))</f>
        <v>Oborovečki Mihaela</v>
      </c>
      <c r="K16" s="77" t="str">
        <f ca="1">IF($D16="","",INDEX('Start List'!$E$15:$E$139,MATCH($D16,'Start List'!$B$15:$B$139,0)))</f>
        <v>CRO</v>
      </c>
      <c r="L16" s="77" t="e">
        <f ca="1">IF($D16="","",INDEX('Start List'!$H$15:$H$139,MATCH($D16,'Start List'!$B$15:$B$139,0)))</f>
        <v>#N/A</v>
      </c>
      <c r="M16" s="79" t="str">
        <f ca="1">IF($D16="","",INDEX('Start List'!$F$15:$F$139,MATCH($D16,'Start List'!$B$15:$B$139,0)))</f>
        <v>W</v>
      </c>
      <c r="N16" s="80">
        <f ca="1">IF($D16="","",INDEX('Start List'!K$15:K$139,MATCH($D16,'Start List'!$B$15:$B$139,0)))</f>
        <v>276</v>
      </c>
      <c r="O16" s="80">
        <f ca="1">IF($D16="","",INDEX('Start List'!L$15:L$139,MATCH($D16,'Start List'!$B$15:$B$139,0)))</f>
        <v>9</v>
      </c>
      <c r="P16" s="80">
        <f ca="1">IF($D16="","",INDEX('Start List'!M$15:M$139,MATCH($D16,'Start List'!$B$15:$B$139,0)))</f>
        <v>6</v>
      </c>
      <c r="Q16" s="80" t="str">
        <f ca="1">IF($D16="","",INDEX('Start List'!N$15:N$139,MATCH($D16,'Start List'!$B$15:$B$139,0)))</f>
        <v/>
      </c>
      <c r="R16" s="80">
        <f ca="1">IF($D16="","",INDEX('Start List'!O$15:O$139,MATCH($D16,'Start List'!$B$15:$B$139,0)))</f>
        <v>293</v>
      </c>
      <c r="S16" s="80">
        <f ca="1">IF($D16="","",INDEX('Start List'!P$15:P$139,MATCH($D16,'Start List'!$B$15:$B$139,0)))</f>
        <v>15</v>
      </c>
      <c r="T16" s="80">
        <f ca="1">IF($D16="","",INDEX('Start List'!Q$15:Q$139,MATCH($D16,'Start List'!$B$15:$B$139,0)))</f>
        <v>8</v>
      </c>
      <c r="U16" s="80" t="str">
        <f ca="1">IF($D16="","",INDEX('Start List'!R$15:R$139,MATCH($D16,'Start List'!$B$15:$B$139,0)))</f>
        <v/>
      </c>
      <c r="V16" s="80">
        <f ca="1">IF($D16="","",INDEX('Start List'!S$15:S$139,MATCH($D16,'Start List'!$B$15:$B$139,0)))</f>
        <v>294</v>
      </c>
      <c r="W16" s="80">
        <f ca="1">IF($D16="","",INDEX('Start List'!T$15:T$139,MATCH($D16,'Start List'!$B$15:$B$139,0)))</f>
        <v>14</v>
      </c>
      <c r="X16" s="80">
        <f ca="1">IF($D16="","",INDEX('Start List'!U$15:U$139,MATCH($D16,'Start List'!$B$15:$B$139,0)))</f>
        <v>10</v>
      </c>
      <c r="Y16" s="80" t="str">
        <f ca="1">IF($D16="","",INDEX('Start List'!V$15:V$139,MATCH($D16,'Start List'!$B$15:$B$139,0)))</f>
        <v/>
      </c>
      <c r="Z16" s="80">
        <f ca="1">IF($D16="","",INDEX('Start List'!W$15:W$139,MATCH($D16,'Start List'!$B$15:$B$139,0)))</f>
        <v>863</v>
      </c>
      <c r="AA16" s="80">
        <f ca="1">IF($D16="","",INDEX('Start List'!X$15:X$139,MATCH($D16,'Start List'!$B$15:$B$139,0)))</f>
        <v>38</v>
      </c>
      <c r="AB16" s="80">
        <f ca="1">IF($D16="","",INDEX('Start List'!Y$15:Y$139,MATCH($D16,'Start List'!$B$15:$B$139,0)))</f>
        <v>24</v>
      </c>
    </row>
    <row r="17" spans="1:28" s="81" customFormat="1" ht="12.75" customHeight="1" x14ac:dyDescent="0.2">
      <c r="A17" s="59">
        <f>IF(OR(COUNT('Start List'!A:A)+COUNTIF('Start List'!$I$9:$I$14,"&lt;21")='By Category'!A16,A16=""),"",'By Category'!A16+1)</f>
        <v>9</v>
      </c>
      <c r="B17" s="74" t="str">
        <f>IF(A17="","",VLOOKUP(SMALL('Start List'!$I$9:$I$139,A17),'Start List'!$I$9:$J$14,2,FALSE))</f>
        <v>Women</v>
      </c>
      <c r="C17" s="75">
        <f>IF(OR(B17="",COUNTIF($B$9:B17,B17)=1),"",COUNTIF($B$9:B17,B17)-1)</f>
        <v>3</v>
      </c>
      <c r="D17" s="227">
        <f ca="1">IF(""=C17,"",LARGE(INDIRECT(VLOOKUP(B17,'Start List'!$J$9:$N$14,5,FALSE)),C17))</f>
        <v>793.15108999999995</v>
      </c>
      <c r="E17" s="79" t="str">
        <f>IF(C17="","",VLOOKUP(B17,Data!$AK$2:$AN$7,4,FALSE)&amp;C17)</f>
        <v>W3</v>
      </c>
      <c r="F17" s="80">
        <f ca="1">IF(COUNTIF(Data!$D$2:$D$97,'By Category'!$E17)=0,"",VLOOKUP('By Category'!$E17,Data!$D$2:$H$97,'By Category'!F$8,FALSE))</f>
        <v>28</v>
      </c>
      <c r="G17" s="80">
        <f ca="1">IF(COUNTIF(Data!$D$2:$D$97,'By Category'!$E17)=0,"",VLOOKUP('By Category'!$E17,Data!$D$2:$H$97,'By Category'!G$8,FALSE))</f>
        <v>16</v>
      </c>
      <c r="H17" s="80">
        <f>IF(COUNTIF(Data!$D$2:$D$97,'By Category'!$E17)=0,"",VLOOKUP('By Category'!$E17,Data!$D$2:$H$97,'By Category'!H$8,FALSE))</f>
        <v>12</v>
      </c>
      <c r="I17" s="80">
        <f>IF(COUNTIF(Data!$D$2:$D$97,'By Category'!$E17)=0,"",VLOOKUP('By Category'!$E17,Data!$D$2:$H$97,'By Category'!I$8,FALSE))</f>
        <v>6</v>
      </c>
      <c r="J17" s="77" t="str">
        <f ca="1">IF(B17&lt;&gt;B16,B17,IF($D17="","",INDEX('Start List'!$D$15:$D$139,MATCH($D17,'Start List'!$B$15:$B$139,0))))</f>
        <v>Bihariné Gábriel Emese</v>
      </c>
      <c r="K17" s="77" t="str">
        <f ca="1">IF($D17="","",INDEX('Start List'!$E$15:$E$139,MATCH($D17,'Start List'!$B$15:$B$139,0)))</f>
        <v>HUN - Hungarian Shooting Federation</v>
      </c>
      <c r="L17" s="77" t="e">
        <f ca="1">IF($D17="","",INDEX('Start List'!$H$15:$H$139,MATCH($D17,'Start List'!$B$15:$B$139,0)))</f>
        <v>#N/A</v>
      </c>
      <c r="M17" s="79" t="str">
        <f ca="1">IF($D17="","",INDEX('Start List'!$F$15:$F$139,MATCH($D17,'Start List'!$B$15:$B$139,0)))</f>
        <v>W</v>
      </c>
      <c r="N17" s="80">
        <f ca="1">IF($D17="","",INDEX('Start List'!K$15:K$139,MATCH($D17,'Start List'!$B$15:$B$139,0)))</f>
        <v>243</v>
      </c>
      <c r="O17" s="80">
        <f ca="1">IF($D17="","",INDEX('Start List'!L$15:L$139,MATCH($D17,'Start List'!$B$15:$B$139,0)))</f>
        <v>3</v>
      </c>
      <c r="P17" s="80">
        <f ca="1">IF($D17="","",INDEX('Start List'!M$15:M$139,MATCH($D17,'Start List'!$B$15:$B$139,0)))</f>
        <v>2</v>
      </c>
      <c r="Q17" s="80" t="str">
        <f ca="1">IF($D17="","",INDEX('Start List'!N$15:N$139,MATCH($D17,'Start List'!$B$15:$B$139,0)))</f>
        <v/>
      </c>
      <c r="R17" s="80">
        <f ca="1">IF($D17="","",INDEX('Start List'!O$15:O$139,MATCH($D17,'Start List'!$B$15:$B$139,0)))</f>
        <v>278</v>
      </c>
      <c r="S17" s="80">
        <f ca="1">IF($D17="","",INDEX('Start List'!P$15:P$139,MATCH($D17,'Start List'!$B$15:$B$139,0)))</f>
        <v>6</v>
      </c>
      <c r="T17" s="80">
        <f ca="1">IF($D17="","",INDEX('Start List'!Q$15:Q$139,MATCH($D17,'Start List'!$B$15:$B$139,0)))</f>
        <v>6</v>
      </c>
      <c r="U17" s="80" t="str">
        <f ca="1">IF($D17="","",INDEX('Start List'!R$15:R$139,MATCH($D17,'Start List'!$B$15:$B$139,0)))</f>
        <v/>
      </c>
      <c r="V17" s="80">
        <f ca="1">IF($D17="","",INDEX('Start List'!S$15:S$139,MATCH($D17,'Start List'!$B$15:$B$139,0)))</f>
        <v>272</v>
      </c>
      <c r="W17" s="80">
        <f ca="1">IF($D17="","",INDEX('Start List'!T$15:T$139,MATCH($D17,'Start List'!$B$15:$B$139,0)))</f>
        <v>6</v>
      </c>
      <c r="X17" s="80">
        <f ca="1">IF($D17="","",INDEX('Start List'!U$15:U$139,MATCH($D17,'Start List'!$B$15:$B$139,0)))</f>
        <v>3</v>
      </c>
      <c r="Y17" s="80" t="str">
        <f ca="1">IF($D17="","",INDEX('Start List'!V$15:V$139,MATCH($D17,'Start List'!$B$15:$B$139,0)))</f>
        <v/>
      </c>
      <c r="Z17" s="80">
        <f ca="1">IF($D17="","",INDEX('Start List'!W$15:W$139,MATCH($D17,'Start List'!$B$15:$B$139,0)))</f>
        <v>793</v>
      </c>
      <c r="AA17" s="80">
        <f ca="1">IF($D17="","",INDEX('Start List'!X$15:X$139,MATCH($D17,'Start List'!$B$15:$B$139,0)))</f>
        <v>15</v>
      </c>
      <c r="AB17" s="80">
        <f ca="1">IF($D17="","",INDEX('Start List'!Y$15:Y$139,MATCH($D17,'Start List'!$B$15:$B$139,0)))</f>
        <v>11</v>
      </c>
    </row>
    <row r="18" spans="1:28" s="82" customFormat="1" ht="12.75" customHeight="1" x14ac:dyDescent="0.2">
      <c r="A18" s="59">
        <f>IF(OR(COUNT('Start List'!A:A)+COUNTIF('Start List'!$I$9:$I$14,"&lt;21")='By Category'!A17,A17=""),"",'By Category'!A17+1)</f>
        <v>10</v>
      </c>
      <c r="B18" s="74" t="str">
        <f>IF(A18="","",VLOOKUP(SMALL('Start List'!$I$9:$I$139,A18),'Start List'!$I$9:$J$14,2,FALSE))</f>
        <v>Women</v>
      </c>
      <c r="C18" s="75">
        <f>IF(OR(B18="",COUNTIF($B$9:B18,B18)=1),"",COUNTIF($B$9:B18,B18)-1)</f>
        <v>4</v>
      </c>
      <c r="D18" s="227">
        <f ca="1">IF(""=C18,"",LARGE(INDIRECT(VLOOKUP(B18,'Start List'!$J$9:$N$14,5,FALSE)),C18))</f>
        <v>785.15079500000002</v>
      </c>
      <c r="E18" s="79" t="str">
        <f>IF(C18="","",VLOOKUP(B18,Data!$AK$2:$AN$7,4,FALSE)&amp;C18)</f>
        <v>W4</v>
      </c>
      <c r="F18" s="80">
        <f ca="1">IF(COUNTIF(Data!$D$2:$D$97,'By Category'!$E18)=0,"",VLOOKUP('By Category'!$E18,Data!$D$2:$H$97,'By Category'!F$8,FALSE))</f>
        <v>21</v>
      </c>
      <c r="G18" s="80">
        <f ca="1">IF(COUNTIF(Data!$D$2:$D$97,'By Category'!$E18)=0,"",VLOOKUP('By Category'!$E18,Data!$D$2:$H$97,'By Category'!G$8,FALSE))</f>
        <v>12</v>
      </c>
      <c r="H18" s="80">
        <f>IF(COUNTIF(Data!$D$2:$D$97,'By Category'!$E18)=0,"",VLOOKUP('By Category'!$E18,Data!$D$2:$H$97,'By Category'!H$8,FALSE))</f>
        <v>9</v>
      </c>
      <c r="I18" s="80">
        <f>IF(COUNTIF(Data!$D$2:$D$97,'By Category'!$E18)=0,"",VLOOKUP('By Category'!$E18,Data!$D$2:$H$97,'By Category'!I$8,FALSE))</f>
        <v>5</v>
      </c>
      <c r="J18" s="77" t="str">
        <f ca="1">IF(B18&lt;&gt;B17,B18,IF($D18="","",INDEX('Start List'!$D$15:$D$139,MATCH($D18,'Start List'!$B$15:$B$139,0))))</f>
        <v>Kubesová Sabina</v>
      </c>
      <c r="K18" s="77" t="str">
        <f ca="1">IF($D18="","",INDEX('Start List'!$E$15:$E$139,MATCH($D18,'Start List'!$B$15:$B$139,0)))</f>
        <v>CZE - Suché Lazce</v>
      </c>
      <c r="L18" s="77" t="e">
        <f ca="1">IF($D18="","",INDEX('Start List'!$H$15:$H$139,MATCH($D18,'Start List'!$B$15:$B$139,0)))</f>
        <v>#N/A</v>
      </c>
      <c r="M18" s="79" t="str">
        <f ca="1">IF($D18="","",INDEX('Start List'!$F$15:$F$139,MATCH($D18,'Start List'!$B$15:$B$139,0)))</f>
        <v>W</v>
      </c>
      <c r="N18" s="80">
        <f ca="1">IF($D18="","",INDEX('Start List'!K$15:K$139,MATCH($D18,'Start List'!$B$15:$B$139,0)))</f>
        <v>247</v>
      </c>
      <c r="O18" s="80">
        <f ca="1">IF($D18="","",INDEX('Start List'!L$15:L$139,MATCH($D18,'Start List'!$B$15:$B$139,0)))</f>
        <v>2</v>
      </c>
      <c r="P18" s="80">
        <f ca="1">IF($D18="","",INDEX('Start List'!M$15:M$139,MATCH($D18,'Start List'!$B$15:$B$139,0)))</f>
        <v>2</v>
      </c>
      <c r="Q18" s="80" t="str">
        <f ca="1">IF($D18="","",INDEX('Start List'!N$15:N$139,MATCH($D18,'Start List'!$B$15:$B$139,0)))</f>
        <v/>
      </c>
      <c r="R18" s="80">
        <f ca="1">IF($D18="","",INDEX('Start List'!O$15:O$139,MATCH($D18,'Start List'!$B$15:$B$139,0)))</f>
        <v>267</v>
      </c>
      <c r="S18" s="80">
        <f ca="1">IF($D18="","",INDEX('Start List'!P$15:P$139,MATCH($D18,'Start List'!$B$15:$B$139,0)))</f>
        <v>5</v>
      </c>
      <c r="T18" s="80">
        <f ca="1">IF($D18="","",INDEX('Start List'!Q$15:Q$139,MATCH($D18,'Start List'!$B$15:$B$139,0)))</f>
        <v>1</v>
      </c>
      <c r="U18" s="80" t="str">
        <f ca="1">IF($D18="","",INDEX('Start List'!R$15:R$139,MATCH($D18,'Start List'!$B$15:$B$139,0)))</f>
        <v/>
      </c>
      <c r="V18" s="80">
        <f ca="1">IF($D18="","",INDEX('Start List'!S$15:S$139,MATCH($D18,'Start List'!$B$15:$B$139,0)))</f>
        <v>271</v>
      </c>
      <c r="W18" s="80">
        <f ca="1">IF($D18="","",INDEX('Start List'!T$15:T$139,MATCH($D18,'Start List'!$B$15:$B$139,0)))</f>
        <v>8</v>
      </c>
      <c r="X18" s="80">
        <f ca="1">IF($D18="","",INDEX('Start List'!U$15:U$139,MATCH($D18,'Start List'!$B$15:$B$139,0)))</f>
        <v>5</v>
      </c>
      <c r="Y18" s="80" t="str">
        <f ca="1">IF($D18="","",INDEX('Start List'!V$15:V$139,MATCH($D18,'Start List'!$B$15:$B$139,0)))</f>
        <v/>
      </c>
      <c r="Z18" s="80">
        <f ca="1">IF($D18="","",INDEX('Start List'!W$15:W$139,MATCH($D18,'Start List'!$B$15:$B$139,0)))</f>
        <v>785</v>
      </c>
      <c r="AA18" s="80">
        <f ca="1">IF($D18="","",INDEX('Start List'!X$15:X$139,MATCH($D18,'Start List'!$B$15:$B$139,0)))</f>
        <v>15</v>
      </c>
      <c r="AB18" s="80">
        <f ca="1">IF($D18="","",INDEX('Start List'!Y$15:Y$139,MATCH($D18,'Start List'!$B$15:$B$139,0)))</f>
        <v>8</v>
      </c>
    </row>
    <row r="19" spans="1:28" s="82" customFormat="1" ht="12.75" customHeight="1" x14ac:dyDescent="0.2">
      <c r="A19" s="59">
        <f>IF(OR(COUNT('Start List'!A:A)+COUNTIF('Start List'!$I$9:$I$14,"&lt;21")='By Category'!A18,A18=""),"",'By Category'!A18+1)</f>
        <v>11</v>
      </c>
      <c r="B19" s="74" t="str">
        <f>IF(A19="","",VLOOKUP(SMALL('Start List'!$I$9:$I$139,A19),'Start List'!$I$9:$J$14,2,FALSE))</f>
        <v>Women</v>
      </c>
      <c r="C19" s="75">
        <f>IF(OR(B19="",COUNTIF($B$9:B19,B19)=1),"",COUNTIF($B$9:B19,B19)-1)</f>
        <v>5</v>
      </c>
      <c r="D19" s="227">
        <f ca="1">IF(""=C19,"",LARGE(INDIRECT(VLOOKUP(B19,'Start List'!$J$9:$N$14,5,FALSE)),C19))</f>
        <v>782.17099099999996</v>
      </c>
      <c r="E19" s="79" t="str">
        <f>IF(C19="","",VLOOKUP(B19,Data!$AK$2:$AN$7,4,FALSE)&amp;C19)</f>
        <v>W5</v>
      </c>
      <c r="F19" s="80">
        <f ca="1">IF(COUNTIF(Data!$D$2:$D$97,'By Category'!$E19)=0,"",VLOOKUP('By Category'!$E19,Data!$D$2:$H$97,'By Category'!F$8,FALSE))</f>
        <v>23</v>
      </c>
      <c r="G19" s="80">
        <f ca="1">IF(COUNTIF(Data!$D$2:$D$97,'By Category'!$E19)=0,"",VLOOKUP('By Category'!$E19,Data!$D$2:$H$97,'By Category'!G$8,FALSE))</f>
        <v>13</v>
      </c>
      <c r="H19" s="80">
        <f>IF(COUNTIF(Data!$D$2:$D$97,'By Category'!$E19)=0,"",VLOOKUP('By Category'!$E19,Data!$D$2:$H$97,'By Category'!H$8,FALSE))</f>
        <v>9</v>
      </c>
      <c r="I19" s="80">
        <f>IF(COUNTIF(Data!$D$2:$D$97,'By Category'!$E19)=0,"",VLOOKUP('By Category'!$E19,Data!$D$2:$H$97,'By Category'!I$8,FALSE))</f>
        <v>5</v>
      </c>
      <c r="J19" s="77" t="str">
        <f ca="1">IF(B19&lt;&gt;B18,B19,IF($D19="","",INDEX('Start List'!$D$15:$D$139,MATCH($D19,'Start List'!$B$15:$B$139,0))))</f>
        <v>Hynková Karolína</v>
      </c>
      <c r="K19" s="77" t="str">
        <f ca="1">IF($D19="","",INDEX('Start List'!$E$15:$E$139,MATCH($D19,'Start List'!$B$15:$B$139,0)))</f>
        <v>CZE - Savana</v>
      </c>
      <c r="L19" s="77" t="e">
        <f ca="1">IF($D19="","",INDEX('Start List'!$H$15:$H$139,MATCH($D19,'Start List'!$B$15:$B$139,0)))</f>
        <v>#N/A</v>
      </c>
      <c r="M19" s="79" t="str">
        <f ca="1">IF($D19="","",INDEX('Start List'!$F$15:$F$139,MATCH($D19,'Start List'!$B$15:$B$139,0)))</f>
        <v>W</v>
      </c>
      <c r="N19" s="80">
        <f ca="1">IF($D19="","",INDEX('Start List'!K$15:K$139,MATCH($D19,'Start List'!$B$15:$B$139,0)))</f>
        <v>246</v>
      </c>
      <c r="O19" s="80">
        <f ca="1">IF($D19="","",INDEX('Start List'!L$15:L$139,MATCH($D19,'Start List'!$B$15:$B$139,0)))</f>
        <v>6</v>
      </c>
      <c r="P19" s="80">
        <f ca="1">IF($D19="","",INDEX('Start List'!M$15:M$139,MATCH($D19,'Start List'!$B$15:$B$139,0)))</f>
        <v>1</v>
      </c>
      <c r="Q19" s="80" t="str">
        <f ca="1">IF($D19="","",INDEX('Start List'!N$15:N$139,MATCH($D19,'Start List'!$B$15:$B$139,0)))</f>
        <v/>
      </c>
      <c r="R19" s="80">
        <f ca="1">IF($D19="","",INDEX('Start List'!O$15:O$139,MATCH($D19,'Start List'!$B$15:$B$139,0)))</f>
        <v>267</v>
      </c>
      <c r="S19" s="80">
        <f ca="1">IF($D19="","",INDEX('Start List'!P$15:P$139,MATCH($D19,'Start List'!$B$15:$B$139,0)))</f>
        <v>6</v>
      </c>
      <c r="T19" s="80">
        <f ca="1">IF($D19="","",INDEX('Start List'!Q$15:Q$139,MATCH($D19,'Start List'!$B$15:$B$139,0)))</f>
        <v>3</v>
      </c>
      <c r="U19" s="80" t="str">
        <f ca="1">IF($D19="","",INDEX('Start List'!R$15:R$139,MATCH($D19,'Start List'!$B$15:$B$139,0)))</f>
        <v/>
      </c>
      <c r="V19" s="80">
        <f ca="1">IF($D19="","",INDEX('Start List'!S$15:S$139,MATCH($D19,'Start List'!$B$15:$B$139,0)))</f>
        <v>269</v>
      </c>
      <c r="W19" s="80">
        <f ca="1">IF($D19="","",INDEX('Start List'!T$15:T$139,MATCH($D19,'Start List'!$B$15:$B$139,0)))</f>
        <v>5</v>
      </c>
      <c r="X19" s="80">
        <f ca="1">IF($D19="","",INDEX('Start List'!U$15:U$139,MATCH($D19,'Start List'!$B$15:$B$139,0)))</f>
        <v>6</v>
      </c>
      <c r="Y19" s="80" t="str">
        <f ca="1">IF($D19="","",INDEX('Start List'!V$15:V$139,MATCH($D19,'Start List'!$B$15:$B$139,0)))</f>
        <v/>
      </c>
      <c r="Z19" s="80">
        <f ca="1">IF($D19="","",INDEX('Start List'!W$15:W$139,MATCH($D19,'Start List'!$B$15:$B$139,0)))</f>
        <v>782</v>
      </c>
      <c r="AA19" s="80">
        <f ca="1">IF($D19="","",INDEX('Start List'!X$15:X$139,MATCH($D19,'Start List'!$B$15:$B$139,0)))</f>
        <v>17</v>
      </c>
      <c r="AB19" s="80">
        <f ca="1">IF($D19="","",INDEX('Start List'!Y$15:Y$139,MATCH($D19,'Start List'!$B$15:$B$139,0)))</f>
        <v>10</v>
      </c>
    </row>
    <row r="20" spans="1:28" s="83" customFormat="1" ht="12.75" customHeight="1" x14ac:dyDescent="0.2">
      <c r="A20" s="59">
        <f>IF(OR(COUNT('Start List'!A:A)+COUNTIF('Start List'!$I$9:$I$14,"&lt;21")='By Category'!A19,A19=""),"",'By Category'!A19+1)</f>
        <v>12</v>
      </c>
      <c r="B20" s="74" t="str">
        <f>IF(A20="","",VLOOKUP(SMALL('Start List'!$I$9:$I$139,A20),'Start List'!$I$9:$J$14,2,FALSE))</f>
        <v>Women</v>
      </c>
      <c r="C20" s="75">
        <f>IF(OR(B20="",COUNTIF($B$9:B20,B20)=1),"",COUNTIF($B$9:B20,B20)-1)</f>
        <v>6</v>
      </c>
      <c r="D20" s="227">
        <f ca="1">IF(""=C20,"",LARGE(INDIRECT(VLOOKUP(B20,'Start List'!$J$9:$N$14,5,FALSE)),C20))</f>
        <v>776.11099300000001</v>
      </c>
      <c r="E20" s="79" t="str">
        <f>IF(C20="","",VLOOKUP(B20,Data!$AK$2:$AN$7,4,FALSE)&amp;C20)</f>
        <v>W6</v>
      </c>
      <c r="F20" s="80">
        <f ca="1">IF(COUNTIF(Data!$D$2:$D$97,'By Category'!$E20)=0,"",VLOOKUP('By Category'!$E20,Data!$D$2:$H$97,'By Category'!F$8,FALSE))</f>
        <v>30</v>
      </c>
      <c r="G20" s="80">
        <f ca="1">IF(COUNTIF(Data!$D$2:$D$97,'By Category'!$E20)=0,"",VLOOKUP('By Category'!$E20,Data!$D$2:$H$97,'By Category'!G$8,FALSE))</f>
        <v>17</v>
      </c>
      <c r="H20" s="80">
        <f>IF(COUNTIF(Data!$D$2:$D$97,'By Category'!$E20)=0,"",VLOOKUP('By Category'!$E20,Data!$D$2:$H$97,'By Category'!H$8,FALSE))</f>
        <v>12</v>
      </c>
      <c r="I20" s="80">
        <f>IF(COUNTIF(Data!$D$2:$D$97,'By Category'!$E20)=0,"",VLOOKUP('By Category'!$E20,Data!$D$2:$H$97,'By Category'!I$8,FALSE))</f>
        <v>6</v>
      </c>
      <c r="J20" s="77" t="str">
        <f ca="1">IF(B20&lt;&gt;B19,B20,IF($D20="","",INDEX('Start List'!$D$15:$D$139,MATCH($D20,'Start List'!$B$15:$B$139,0))))</f>
        <v>Hynková Irena</v>
      </c>
      <c r="K20" s="77" t="str">
        <f ca="1">IF($D20="","",INDEX('Start List'!$E$15:$E$139,MATCH($D20,'Start List'!$B$15:$B$139,0)))</f>
        <v>CZE - Savana</v>
      </c>
      <c r="L20" s="77" t="e">
        <f ca="1">IF($D20="","",INDEX('Start List'!$H$15:$H$139,MATCH($D20,'Start List'!$B$15:$B$139,0)))</f>
        <v>#N/A</v>
      </c>
      <c r="M20" s="79" t="str">
        <f ca="1">IF($D20="","",INDEX('Start List'!$F$15:$F$139,MATCH($D20,'Start List'!$B$15:$B$139,0)))</f>
        <v>W</v>
      </c>
      <c r="N20" s="80">
        <f ca="1">IF($D20="","",INDEX('Start List'!K$15:K$139,MATCH($D20,'Start List'!$B$15:$B$139,0)))</f>
        <v>250</v>
      </c>
      <c r="O20" s="80">
        <f ca="1">IF($D20="","",INDEX('Start List'!L$15:L$139,MATCH($D20,'Start List'!$B$15:$B$139,0)))</f>
        <v>3</v>
      </c>
      <c r="P20" s="80">
        <f ca="1">IF($D20="","",INDEX('Start List'!M$15:M$139,MATCH($D20,'Start List'!$B$15:$B$139,0)))</f>
        <v>3</v>
      </c>
      <c r="Q20" s="80" t="str">
        <f ca="1">IF($D20="","",INDEX('Start List'!N$15:N$139,MATCH($D20,'Start List'!$B$15:$B$139,0)))</f>
        <v/>
      </c>
      <c r="R20" s="80">
        <f ca="1">IF($D20="","",INDEX('Start List'!O$15:O$139,MATCH($D20,'Start List'!$B$15:$B$139,0)))</f>
        <v>254</v>
      </c>
      <c r="S20" s="80">
        <f ca="1">IF($D20="","",INDEX('Start List'!P$15:P$139,MATCH($D20,'Start List'!$B$15:$B$139,0)))</f>
        <v>2</v>
      </c>
      <c r="T20" s="80">
        <f ca="1">IF($D20="","",INDEX('Start List'!Q$15:Q$139,MATCH($D20,'Start List'!$B$15:$B$139,0)))</f>
        <v>1</v>
      </c>
      <c r="U20" s="80" t="str">
        <f ca="1">IF($D20="","",INDEX('Start List'!R$15:R$139,MATCH($D20,'Start List'!$B$15:$B$139,0)))</f>
        <v/>
      </c>
      <c r="V20" s="80">
        <f ca="1">IF($D20="","",INDEX('Start List'!S$15:S$139,MATCH($D20,'Start List'!$B$15:$B$139,0)))</f>
        <v>272</v>
      </c>
      <c r="W20" s="80">
        <f ca="1">IF($D20="","",INDEX('Start List'!T$15:T$139,MATCH($D20,'Start List'!$B$15:$B$139,0)))</f>
        <v>6</v>
      </c>
      <c r="X20" s="80">
        <f ca="1">IF($D20="","",INDEX('Start List'!U$15:U$139,MATCH($D20,'Start List'!$B$15:$B$139,0)))</f>
        <v>6</v>
      </c>
      <c r="Y20" s="80" t="str">
        <f ca="1">IF($D20="","",INDEX('Start List'!V$15:V$139,MATCH($D20,'Start List'!$B$15:$B$139,0)))</f>
        <v/>
      </c>
      <c r="Z20" s="80">
        <f ca="1">IF($D20="","",INDEX('Start List'!W$15:W$139,MATCH($D20,'Start List'!$B$15:$B$139,0)))</f>
        <v>776</v>
      </c>
      <c r="AA20" s="80">
        <f ca="1">IF($D20="","",INDEX('Start List'!X$15:X$139,MATCH($D20,'Start List'!$B$15:$B$139,0)))</f>
        <v>11</v>
      </c>
      <c r="AB20" s="80">
        <f ca="1">IF($D20="","",INDEX('Start List'!Y$15:Y$139,MATCH($D20,'Start List'!$B$15:$B$139,0)))</f>
        <v>10</v>
      </c>
    </row>
    <row r="21" spans="1:28" s="83" customFormat="1" ht="12.75" customHeight="1" collapsed="1" x14ac:dyDescent="0.2">
      <c r="A21" s="59">
        <f>IF(OR(COUNT('Start List'!A:A)+COUNTIF('Start List'!$I$9:$I$14,"&lt;21")='By Category'!A20,A20=""),"",'By Category'!A20+1)</f>
        <v>13</v>
      </c>
      <c r="B21" s="74" t="str">
        <f>IF(A21="","",VLOOKUP(SMALL('Start List'!$I$9:$I$139,A21),'Start List'!$I$9:$J$14,2,FALSE))</f>
        <v>Juniors</v>
      </c>
      <c r="C21" s="75" t="str">
        <f>IF(OR(B21="",COUNTIF($B$9:B21,B21)=1),"",COUNTIF($B$9:B21,B21)-1)</f>
        <v/>
      </c>
      <c r="D21" s="227" t="str">
        <f ca="1">IF(""=C21,"",LARGE(INDIRECT(VLOOKUP(B21,'Start List'!$J$9:$N$14,5,FALSE)),C21))</f>
        <v/>
      </c>
      <c r="E21" s="79" t="str">
        <f>IF(C21="","",VLOOKUP(B21,Data!$AK$2:$AN$7,4,FALSE)&amp;C21)</f>
        <v/>
      </c>
      <c r="F21" s="80" t="str">
        <f>IF(COUNTIF(Data!$D$2:$D$97,'By Category'!$E21)=0,"",VLOOKUP('By Category'!$E21,Data!$D$2:$H$97,'By Category'!F$8,FALSE))</f>
        <v/>
      </c>
      <c r="G21" s="80" t="str">
        <f>IF(COUNTIF(Data!$D$2:$D$97,'By Category'!$E21)=0,"",VLOOKUP('By Category'!$E21,Data!$D$2:$H$97,'By Category'!G$8,FALSE))</f>
        <v/>
      </c>
      <c r="H21" s="80" t="str">
        <f>IF(COUNTIF(Data!$D$2:$D$97,'By Category'!$E21)=0,"",VLOOKUP('By Category'!$E21,Data!$D$2:$H$97,'By Category'!H$8,FALSE))</f>
        <v/>
      </c>
      <c r="I21" s="80" t="str">
        <f>IF(COUNTIF(Data!$D$2:$D$97,'By Category'!$E21)=0,"",VLOOKUP('By Category'!$E21,Data!$D$2:$H$97,'By Category'!I$8,FALSE))</f>
        <v/>
      </c>
      <c r="J21" s="77" t="str">
        <f>IF(B21&lt;&gt;B20,B21,IF($D21="","",INDEX('Start List'!$D$15:$D$139,MATCH($D21,'Start List'!$B$15:$B$139,0))))</f>
        <v>Juniors</v>
      </c>
      <c r="K21" s="77" t="str">
        <f ca="1">IF($D21="","",INDEX('Start List'!$E$15:$E$139,MATCH($D21,'Start List'!$B$15:$B$139,0)))</f>
        <v/>
      </c>
      <c r="L21" s="77" t="str">
        <f ca="1">IF($D21="","",INDEX('Start List'!$H$15:$H$139,MATCH($D21,'Start List'!$B$15:$B$139,0)))</f>
        <v/>
      </c>
      <c r="M21" s="79" t="str">
        <f ca="1">IF($D21="","",INDEX('Start List'!$F$15:$F$139,MATCH($D21,'Start List'!$B$15:$B$139,0)))</f>
        <v/>
      </c>
      <c r="N21" s="80" t="str">
        <f ca="1">IF($D21="","",INDEX('Start List'!K$15:K$139,MATCH($D21,'Start List'!$B$15:$B$139,0)))</f>
        <v/>
      </c>
      <c r="O21" s="80" t="str">
        <f ca="1">IF($D21="","",INDEX('Start List'!L$15:L$139,MATCH($D21,'Start List'!$B$15:$B$139,0)))</f>
        <v/>
      </c>
      <c r="P21" s="80" t="str">
        <f ca="1">IF($D21="","",INDEX('Start List'!M$15:M$139,MATCH($D21,'Start List'!$B$15:$B$139,0)))</f>
        <v/>
      </c>
      <c r="Q21" s="80" t="str">
        <f ca="1">IF($D21="","",INDEX('Start List'!N$15:N$139,MATCH($D21,'Start List'!$B$15:$B$139,0)))</f>
        <v/>
      </c>
      <c r="R21" s="80" t="str">
        <f ca="1">IF($D21="","",INDEX('Start List'!O$15:O$139,MATCH($D21,'Start List'!$B$15:$B$139,0)))</f>
        <v/>
      </c>
      <c r="S21" s="80" t="str">
        <f ca="1">IF($D21="","",INDEX('Start List'!P$15:P$139,MATCH($D21,'Start List'!$B$15:$B$139,0)))</f>
        <v/>
      </c>
      <c r="T21" s="80" t="str">
        <f ca="1">IF($D21="","",INDEX('Start List'!Q$15:Q$139,MATCH($D21,'Start List'!$B$15:$B$139,0)))</f>
        <v/>
      </c>
      <c r="U21" s="80" t="str">
        <f ca="1">IF($D21="","",INDEX('Start List'!R$15:R$139,MATCH($D21,'Start List'!$B$15:$B$139,0)))</f>
        <v/>
      </c>
      <c r="V21" s="80" t="str">
        <f ca="1">IF($D21="","",INDEX('Start List'!S$15:S$139,MATCH($D21,'Start List'!$B$15:$B$139,0)))</f>
        <v/>
      </c>
      <c r="W21" s="80" t="str">
        <f ca="1">IF($D21="","",INDEX('Start List'!T$15:T$139,MATCH($D21,'Start List'!$B$15:$B$139,0)))</f>
        <v/>
      </c>
      <c r="X21" s="80" t="str">
        <f ca="1">IF($D21="","",INDEX('Start List'!U$15:U$139,MATCH($D21,'Start List'!$B$15:$B$139,0)))</f>
        <v/>
      </c>
      <c r="Y21" s="80" t="str">
        <f ca="1">IF($D21="","",INDEX('Start List'!V$15:V$139,MATCH($D21,'Start List'!$B$15:$B$139,0)))</f>
        <v/>
      </c>
      <c r="Z21" s="80" t="str">
        <f ca="1">IF($D21="","",INDEX('Start List'!W$15:W$139,MATCH($D21,'Start List'!$B$15:$B$139,0)))</f>
        <v/>
      </c>
      <c r="AA21" s="80" t="str">
        <f ca="1">IF($D21="","",INDEX('Start List'!X$15:X$139,MATCH($D21,'Start List'!$B$15:$B$139,0)))</f>
        <v/>
      </c>
      <c r="AB21" s="80" t="str">
        <f ca="1">IF($D21="","",INDEX('Start List'!Y$15:Y$139,MATCH($D21,'Start List'!$B$15:$B$139,0)))</f>
        <v/>
      </c>
    </row>
    <row r="22" spans="1:28" s="83" customFormat="1" ht="12.75" customHeight="1" collapsed="1" x14ac:dyDescent="0.2">
      <c r="A22" s="59">
        <f>IF(OR(COUNT('Start List'!A:A)+COUNTIF('Start List'!$I$9:$I$14,"&lt;21")='By Category'!A21,A21=""),"",'By Category'!A21+1)</f>
        <v>14</v>
      </c>
      <c r="B22" s="74" t="str">
        <f>IF(A22="","",VLOOKUP(SMALL('Start List'!$I$9:$I$139,A22),'Start List'!$I$9:$J$14,2,FALSE))</f>
        <v>Juniors</v>
      </c>
      <c r="C22" s="75">
        <f>IF(OR(B22="",COUNTIF($B$9:B22,B22)=1),"",COUNTIF($B$9:B22,B22)-1)</f>
        <v>1</v>
      </c>
      <c r="D22" s="227">
        <f ca="1">IF(""=C22,"",LARGE(INDIRECT(VLOOKUP(B22,'Start List'!$J$9:$N$14,5,FALSE)),C22))</f>
        <v>845.39108899999997</v>
      </c>
      <c r="E22" s="79" t="str">
        <f>IF(C22="","",VLOOKUP(B22,Data!$AK$2:$AN$7,4,FALSE)&amp;C22)</f>
        <v>J1</v>
      </c>
      <c r="F22" s="80" t="str">
        <f>IF(COUNTIF(Data!$D$2:$D$97,'By Category'!$E22)=0,"",VLOOKUP('By Category'!$E22,Data!$D$2:$H$97,'By Category'!F$8,FALSE))</f>
        <v/>
      </c>
      <c r="G22" s="80" t="str">
        <f>IF(COUNTIF(Data!$D$2:$D$97,'By Category'!$E22)=0,"",VLOOKUP('By Category'!$E22,Data!$D$2:$H$97,'By Category'!G$8,FALSE))</f>
        <v/>
      </c>
      <c r="H22" s="80">
        <f>IF(COUNTIF(Data!$D$2:$D$97,'By Category'!$E22)=0,"",VLOOKUP('By Category'!$E22,Data!$D$2:$H$97,'By Category'!H$8,FALSE))</f>
        <v>14</v>
      </c>
      <c r="I22" s="80">
        <f>IF(COUNTIF(Data!$D$2:$D$97,'By Category'!$E22)=0,"",VLOOKUP('By Category'!$E22,Data!$D$2:$H$97,'By Category'!I$8,FALSE))</f>
        <v>2</v>
      </c>
      <c r="J22" s="77" t="str">
        <f ca="1">IF(B22&lt;&gt;B21,B22,IF($D22="","",INDEX('Start List'!$D$15:$D$139,MATCH($D22,'Start List'!$B$15:$B$139,0))))</f>
        <v>Oborovečki Martin</v>
      </c>
      <c r="K22" s="77" t="str">
        <f ca="1">IF($D22="","",INDEX('Start List'!$E$15:$E$139,MATCH($D22,'Start List'!$B$15:$B$139,0)))</f>
        <v>CRO</v>
      </c>
      <c r="L22" s="77" t="e">
        <f ca="1">IF($D22="","",INDEX('Start List'!$H$15:$H$139,MATCH($D22,'Start List'!$B$15:$B$139,0)))</f>
        <v>#N/A</v>
      </c>
      <c r="M22" s="79" t="str">
        <f ca="1">IF($D22="","",INDEX('Start List'!$F$15:$F$139,MATCH($D22,'Start List'!$B$15:$B$139,0)))</f>
        <v>J</v>
      </c>
      <c r="N22" s="80">
        <f ca="1">IF($D22="","",INDEX('Start List'!K$15:K$139,MATCH($D22,'Start List'!$B$15:$B$139,0)))</f>
        <v>267</v>
      </c>
      <c r="O22" s="80">
        <f ca="1">IF($D22="","",INDEX('Start List'!L$15:L$139,MATCH($D22,'Start List'!$B$15:$B$139,0)))</f>
        <v>7</v>
      </c>
      <c r="P22" s="80">
        <f ca="1">IF($D22="","",INDEX('Start List'!M$15:M$139,MATCH($D22,'Start List'!$B$15:$B$139,0)))</f>
        <v>4</v>
      </c>
      <c r="Q22" s="80" t="str">
        <f ca="1">IF($D22="","",INDEX('Start List'!N$15:N$139,MATCH($D22,'Start List'!$B$15:$B$139,0)))</f>
        <v/>
      </c>
      <c r="R22" s="80">
        <f ca="1">IF($D22="","",INDEX('Start List'!O$15:O$139,MATCH($D22,'Start List'!$B$15:$B$139,0)))</f>
        <v>292</v>
      </c>
      <c r="S22" s="80">
        <f ca="1">IF($D22="","",INDEX('Start List'!P$15:P$139,MATCH($D22,'Start List'!$B$15:$B$139,0)))</f>
        <v>19</v>
      </c>
      <c r="T22" s="80">
        <f ca="1">IF($D22="","",INDEX('Start List'!Q$15:Q$139,MATCH($D22,'Start List'!$B$15:$B$139,0)))</f>
        <v>3</v>
      </c>
      <c r="U22" s="80" t="str">
        <f ca="1">IF($D22="","",INDEX('Start List'!R$15:R$139,MATCH($D22,'Start List'!$B$15:$B$139,0)))</f>
        <v/>
      </c>
      <c r="V22" s="80">
        <f ca="1">IF($D22="","",INDEX('Start List'!S$15:S$139,MATCH($D22,'Start List'!$B$15:$B$139,0)))</f>
        <v>286</v>
      </c>
      <c r="W22" s="80">
        <f ca="1">IF($D22="","",INDEX('Start List'!T$15:T$139,MATCH($D22,'Start List'!$B$15:$B$139,0)))</f>
        <v>13</v>
      </c>
      <c r="X22" s="80">
        <f ca="1">IF($D22="","",INDEX('Start List'!U$15:U$139,MATCH($D22,'Start List'!$B$15:$B$139,0)))</f>
        <v>4</v>
      </c>
      <c r="Y22" s="80" t="str">
        <f ca="1">IF($D22="","",INDEX('Start List'!V$15:V$139,MATCH($D22,'Start List'!$B$15:$B$139,0)))</f>
        <v/>
      </c>
      <c r="Z22" s="80">
        <f ca="1">IF($D22="","",INDEX('Start List'!W$15:W$139,MATCH($D22,'Start List'!$B$15:$B$139,0)))</f>
        <v>845</v>
      </c>
      <c r="AA22" s="80">
        <f ca="1">IF($D22="","",INDEX('Start List'!X$15:X$139,MATCH($D22,'Start List'!$B$15:$B$139,0)))</f>
        <v>39</v>
      </c>
      <c r="AB22" s="80">
        <f ca="1">IF($D22="","",INDEX('Start List'!Y$15:Y$139,MATCH($D22,'Start List'!$B$15:$B$139,0)))</f>
        <v>11</v>
      </c>
    </row>
    <row r="23" spans="1:28" s="83" customFormat="1" ht="12.75" customHeight="1" x14ac:dyDescent="0.2">
      <c r="A23" s="59">
        <f>IF(OR(COUNT('Start List'!A:A)+COUNTIF('Start List'!$I$9:$I$14,"&lt;21")='By Category'!A22,A22=""),"",'By Category'!A22+1)</f>
        <v>15</v>
      </c>
      <c r="B23" s="74" t="str">
        <f>IF(A23="","",VLOOKUP(SMALL('Start List'!$I$9:$I$139,A23),'Start List'!$I$9:$J$14,2,FALSE))</f>
        <v>Juniors</v>
      </c>
      <c r="C23" s="75">
        <f>IF(OR(B23="",COUNTIF($B$9:B23,B23)=1),"",COUNTIF($B$9:B23,B23)-1)</f>
        <v>2</v>
      </c>
      <c r="D23" s="227">
        <f ca="1">IF(""=C23,"",LARGE(INDIRECT(VLOOKUP(B23,'Start List'!$J$9:$N$14,5,FALSE)),C23))</f>
        <v>817.21138700000006</v>
      </c>
      <c r="E23" s="79" t="str">
        <f>IF(C23="","",VLOOKUP(B23,Data!$AK$2:$AN$7,4,FALSE)&amp;C23)</f>
        <v>J2</v>
      </c>
      <c r="F23" s="80" t="str">
        <f>IF(COUNTIF(Data!$D$2:$D$97,'By Category'!$E23)=0,"",VLOOKUP('By Category'!$E23,Data!$D$2:$H$97,'By Category'!F$8,FALSE))</f>
        <v/>
      </c>
      <c r="G23" s="80" t="str">
        <f>IF(COUNTIF(Data!$D$2:$D$97,'By Category'!$E23)=0,"",VLOOKUP('By Category'!$E23,Data!$D$2:$H$97,'By Category'!G$8,FALSE))</f>
        <v/>
      </c>
      <c r="H23" s="80">
        <f>IF(COUNTIF(Data!$D$2:$D$97,'By Category'!$E23)=0,"",VLOOKUP('By Category'!$E23,Data!$D$2:$H$97,'By Category'!H$8,FALSE))</f>
        <v>17</v>
      </c>
      <c r="I23" s="80">
        <f>IF(COUNTIF(Data!$D$2:$D$97,'By Category'!$E23)=0,"",VLOOKUP('By Category'!$E23,Data!$D$2:$H$97,'By Category'!I$8,FALSE))</f>
        <v>3</v>
      </c>
      <c r="J23" s="77" t="str">
        <f ca="1">IF(B23&lt;&gt;B22,B23,IF($D23="","",INDEX('Start List'!$D$15:$D$139,MATCH($D23,'Start List'!$B$15:$B$139,0))))</f>
        <v>Iva Popović-Gecan</v>
      </c>
      <c r="K23" s="77" t="str">
        <f ca="1">IF($D23="","",INDEX('Start List'!$E$15:$E$139,MATCH($D23,'Start List'!$B$15:$B$139,0)))</f>
        <v>CRO</v>
      </c>
      <c r="L23" s="77" t="e">
        <f ca="1">IF($D23="","",INDEX('Start List'!$H$15:$H$139,MATCH($D23,'Start List'!$B$15:$B$139,0)))</f>
        <v>#N/A</v>
      </c>
      <c r="M23" s="79" t="str">
        <f ca="1">IF($D23="","",INDEX('Start List'!$F$15:$F$139,MATCH($D23,'Start List'!$B$15:$B$139,0)))</f>
        <v>J</v>
      </c>
      <c r="N23" s="80">
        <f ca="1">IF($D23="","",INDEX('Start List'!K$15:K$139,MATCH($D23,'Start List'!$B$15:$B$139,0)))</f>
        <v>257</v>
      </c>
      <c r="O23" s="80">
        <f ca="1">IF($D23="","",INDEX('Start List'!L$15:L$139,MATCH($D23,'Start List'!$B$15:$B$139,0)))</f>
        <v>4</v>
      </c>
      <c r="P23" s="80">
        <f ca="1">IF($D23="","",INDEX('Start List'!M$15:M$139,MATCH($D23,'Start List'!$B$15:$B$139,0)))</f>
        <v>4</v>
      </c>
      <c r="Q23" s="80" t="str">
        <f ca="1">IF($D23="","",INDEX('Start List'!N$15:N$139,MATCH($D23,'Start List'!$B$15:$B$139,0)))</f>
        <v/>
      </c>
      <c r="R23" s="80">
        <f ca="1">IF($D23="","",INDEX('Start List'!O$15:O$139,MATCH($D23,'Start List'!$B$15:$B$139,0)))</f>
        <v>280</v>
      </c>
      <c r="S23" s="80">
        <f ca="1">IF($D23="","",INDEX('Start List'!P$15:P$139,MATCH($D23,'Start List'!$B$15:$B$139,0)))</f>
        <v>10</v>
      </c>
      <c r="T23" s="80">
        <f ca="1">IF($D23="","",INDEX('Start List'!Q$15:Q$139,MATCH($D23,'Start List'!$B$15:$B$139,0)))</f>
        <v>4</v>
      </c>
      <c r="U23" s="80" t="str">
        <f ca="1">IF($D23="","",INDEX('Start List'!R$15:R$139,MATCH($D23,'Start List'!$B$15:$B$139,0)))</f>
        <v/>
      </c>
      <c r="V23" s="80">
        <f ca="1">IF($D23="","",INDEX('Start List'!S$15:S$139,MATCH($D23,'Start List'!$B$15:$B$139,0)))</f>
        <v>280</v>
      </c>
      <c r="W23" s="80">
        <f ca="1">IF($D23="","",INDEX('Start List'!T$15:T$139,MATCH($D23,'Start List'!$B$15:$B$139,0)))</f>
        <v>7</v>
      </c>
      <c r="X23" s="80">
        <f ca="1">IF($D23="","",INDEX('Start List'!U$15:U$139,MATCH($D23,'Start List'!$B$15:$B$139,0)))</f>
        <v>6</v>
      </c>
      <c r="Y23" s="80" t="str">
        <f ca="1">IF($D23="","",INDEX('Start List'!V$15:V$139,MATCH($D23,'Start List'!$B$15:$B$139,0)))</f>
        <v/>
      </c>
      <c r="Z23" s="80">
        <f ca="1">IF($D23="","",INDEX('Start List'!W$15:W$139,MATCH($D23,'Start List'!$B$15:$B$139,0)))</f>
        <v>817</v>
      </c>
      <c r="AA23" s="80">
        <f ca="1">IF($D23="","",INDEX('Start List'!X$15:X$139,MATCH($D23,'Start List'!$B$15:$B$139,0)))</f>
        <v>21</v>
      </c>
      <c r="AB23" s="80">
        <f ca="1">IF($D23="","",INDEX('Start List'!Y$15:Y$139,MATCH($D23,'Start List'!$B$15:$B$139,0)))</f>
        <v>14</v>
      </c>
    </row>
    <row r="24" spans="1:28" s="83" customFormat="1" ht="12.75" customHeight="1" x14ac:dyDescent="0.2">
      <c r="A24" s="59">
        <f>IF(OR(COUNT('Start List'!A:A)+COUNTIF('Start List'!$I$9:$I$14,"&lt;21")='By Category'!A23,A23=""),"",'By Category'!A23+1)</f>
        <v>16</v>
      </c>
      <c r="B24" s="74" t="str">
        <f>IF(A24="","",VLOOKUP(SMALL('Start List'!$I$9:$I$139,A24),'Start List'!$I$9:$J$14,2,FALSE))</f>
        <v>Juniors</v>
      </c>
      <c r="C24" s="75">
        <f>IF(OR(B24="",COUNTIF($B$9:B24,B24)=1),"",COUNTIF($B$9:B24,B24)-1)</f>
        <v>3</v>
      </c>
      <c r="D24" s="227">
        <f ca="1">IF(""=C24,"",LARGE(INDIRECT(VLOOKUP(B24,'Start List'!$J$9:$N$14,5,FALSE)),C24))</f>
        <v>760.12068800000009</v>
      </c>
      <c r="E24" s="79" t="str">
        <f>IF(C24="","",VLOOKUP(B24,Data!$AK$2:$AN$7,4,FALSE)&amp;C24)</f>
        <v>J3</v>
      </c>
      <c r="F24" s="80" t="str">
        <f>IF(COUNTIF(Data!$D$2:$D$97,'By Category'!$E24)=0,"",VLOOKUP('By Category'!$E24,Data!$D$2:$H$97,'By Category'!F$8,FALSE))</f>
        <v/>
      </c>
      <c r="G24" s="80" t="str">
        <f>IF(COUNTIF(Data!$D$2:$D$97,'By Category'!$E24)=0,"",VLOOKUP('By Category'!$E24,Data!$D$2:$H$97,'By Category'!G$8,FALSE))</f>
        <v/>
      </c>
      <c r="H24" s="80">
        <f>IF(COUNTIF(Data!$D$2:$D$97,'By Category'!$E24)=0,"",VLOOKUP('By Category'!$E24,Data!$D$2:$H$97,'By Category'!H$8,FALSE))</f>
        <v>18</v>
      </c>
      <c r="I24" s="80">
        <f>IF(COUNTIF(Data!$D$2:$D$97,'By Category'!$E24)=0,"",VLOOKUP('By Category'!$E24,Data!$D$2:$H$97,'By Category'!I$8,FALSE))</f>
        <v>3</v>
      </c>
      <c r="J24" s="77" t="str">
        <f ca="1">IF(B24&lt;&gt;B23,B24,IF($D24="","",INDEX('Start List'!$D$15:$D$139,MATCH($D24,'Start List'!$B$15:$B$139,0))))</f>
        <v>Andrés Lukáš</v>
      </c>
      <c r="K24" s="77" t="str">
        <f ca="1">IF($D24="","",INDEX('Start List'!$E$15:$E$139,MATCH($D24,'Start List'!$B$15:$B$139,0)))</f>
        <v>CZE - Savana</v>
      </c>
      <c r="L24" s="77" t="e">
        <f ca="1">IF($D24="","",INDEX('Start List'!$H$15:$H$139,MATCH($D24,'Start List'!$B$15:$B$139,0)))</f>
        <v>#N/A</v>
      </c>
      <c r="M24" s="79" t="str">
        <f ca="1">IF($D24="","",INDEX('Start List'!$F$15:$F$139,MATCH($D24,'Start List'!$B$15:$B$139,0)))</f>
        <v>J</v>
      </c>
      <c r="N24" s="80">
        <f ca="1">IF($D24="","",INDEX('Start List'!K$15:K$139,MATCH($D24,'Start List'!$B$15:$B$139,0)))</f>
        <v>240</v>
      </c>
      <c r="O24" s="80">
        <f ca="1">IF($D24="","",INDEX('Start List'!L$15:L$139,MATCH($D24,'Start List'!$B$15:$B$139,0)))</f>
        <v>2</v>
      </c>
      <c r="P24" s="80">
        <f ca="1">IF($D24="","",INDEX('Start List'!M$15:M$139,MATCH($D24,'Start List'!$B$15:$B$139,0)))</f>
        <v>1</v>
      </c>
      <c r="Q24" s="80" t="str">
        <f ca="1">IF($D24="","",INDEX('Start List'!N$15:N$139,MATCH($D24,'Start List'!$B$15:$B$139,0)))</f>
        <v/>
      </c>
      <c r="R24" s="80">
        <f ca="1">IF($D24="","",INDEX('Start List'!O$15:O$139,MATCH($D24,'Start List'!$B$15:$B$139,0)))</f>
        <v>263</v>
      </c>
      <c r="S24" s="80">
        <f ca="1">IF($D24="","",INDEX('Start List'!P$15:P$139,MATCH($D24,'Start List'!$B$15:$B$139,0)))</f>
        <v>6</v>
      </c>
      <c r="T24" s="80">
        <f ca="1">IF($D24="","",INDEX('Start List'!Q$15:Q$139,MATCH($D24,'Start List'!$B$15:$B$139,0)))</f>
        <v>3</v>
      </c>
      <c r="U24" s="80" t="str">
        <f ca="1">IF($D24="","",INDEX('Start List'!R$15:R$139,MATCH($D24,'Start List'!$B$15:$B$139,0)))</f>
        <v/>
      </c>
      <c r="V24" s="80">
        <f ca="1">IF($D24="","",INDEX('Start List'!S$15:S$139,MATCH($D24,'Start List'!$B$15:$B$139,0)))</f>
        <v>257</v>
      </c>
      <c r="W24" s="80">
        <f ca="1">IF($D24="","",INDEX('Start List'!T$15:T$139,MATCH($D24,'Start List'!$B$15:$B$139,0)))</f>
        <v>4</v>
      </c>
      <c r="X24" s="80">
        <f ca="1">IF($D24="","",INDEX('Start List'!U$15:U$139,MATCH($D24,'Start List'!$B$15:$B$139,0)))</f>
        <v>3</v>
      </c>
      <c r="Y24" s="80" t="str">
        <f ca="1">IF($D24="","",INDEX('Start List'!V$15:V$139,MATCH($D24,'Start List'!$B$15:$B$139,0)))</f>
        <v/>
      </c>
      <c r="Z24" s="80">
        <f ca="1">IF($D24="","",INDEX('Start List'!W$15:W$139,MATCH($D24,'Start List'!$B$15:$B$139,0)))</f>
        <v>760</v>
      </c>
      <c r="AA24" s="80">
        <f ca="1">IF($D24="","",INDEX('Start List'!X$15:X$139,MATCH($D24,'Start List'!$B$15:$B$139,0)))</f>
        <v>12</v>
      </c>
      <c r="AB24" s="80">
        <f ca="1">IF($D24="","",INDEX('Start List'!Y$15:Y$139,MATCH($D24,'Start List'!$B$15:$B$139,0)))</f>
        <v>7</v>
      </c>
    </row>
    <row r="25" spans="1:28" s="83" customFormat="1" ht="12.75" customHeight="1" x14ac:dyDescent="0.2">
      <c r="A25" s="59">
        <f>IF(OR(COUNT('Start List'!A:A)+COUNTIF('Start List'!$I$9:$I$14,"&lt;21")='By Category'!A24,A24=""),"",'By Category'!A24+1)</f>
        <v>17</v>
      </c>
      <c r="B25" s="74" t="str">
        <f>IF(A25="","",VLOOKUP(SMALL('Start List'!$I$9:$I$139,A25),'Start List'!$I$9:$J$14,2,FALSE))</f>
        <v xml:space="preserve">Cadets  </v>
      </c>
      <c r="C25" s="75" t="str">
        <f>IF(OR(B25="",COUNTIF($B$9:B25,B25)=1),"",COUNTIF($B$9:B25,B25)-1)</f>
        <v/>
      </c>
      <c r="D25" s="227" t="str">
        <f ca="1">IF(""=C25,"",LARGE(INDIRECT(VLOOKUP(B25,'Start List'!$J$9:$N$14,5,FALSE)),C25))</f>
        <v/>
      </c>
      <c r="E25" s="79" t="str">
        <f>IF(C25="","",VLOOKUP(B25,Data!$AK$2:$AN$7,4,FALSE)&amp;C25)</f>
        <v/>
      </c>
      <c r="F25" s="80" t="str">
        <f>IF(COUNTIF(Data!$D$2:$D$97,'By Category'!$E25)=0,"",VLOOKUP('By Category'!$E25,Data!$D$2:$H$97,'By Category'!F$8,FALSE))</f>
        <v/>
      </c>
      <c r="G25" s="80" t="str">
        <f>IF(COUNTIF(Data!$D$2:$D$97,'By Category'!$E25)=0,"",VLOOKUP('By Category'!$E25,Data!$D$2:$H$97,'By Category'!G$8,FALSE))</f>
        <v/>
      </c>
      <c r="H25" s="80" t="str">
        <f>IF(COUNTIF(Data!$D$2:$D$97,'By Category'!$E25)=0,"",VLOOKUP('By Category'!$E25,Data!$D$2:$H$97,'By Category'!H$8,FALSE))</f>
        <v/>
      </c>
      <c r="I25" s="80" t="str">
        <f>IF(COUNTIF(Data!$D$2:$D$97,'By Category'!$E25)=0,"",VLOOKUP('By Category'!$E25,Data!$D$2:$H$97,'By Category'!I$8,FALSE))</f>
        <v/>
      </c>
      <c r="J25" s="77" t="str">
        <f>IF(B25&lt;&gt;B24,B25,IF($D25="","",INDEX('Start List'!$D$15:$D$139,MATCH($D25,'Start List'!$B$15:$B$139,0))))</f>
        <v xml:space="preserve">Cadets  </v>
      </c>
      <c r="K25" s="77" t="str">
        <f ca="1">IF($D25="","",INDEX('Start List'!$E$15:$E$139,MATCH($D25,'Start List'!$B$15:$B$139,0)))</f>
        <v/>
      </c>
      <c r="L25" s="77" t="str">
        <f ca="1">IF($D25="","",INDEX('Start List'!$H$15:$H$139,MATCH($D25,'Start List'!$B$15:$B$139,0)))</f>
        <v/>
      </c>
      <c r="M25" s="79" t="str">
        <f ca="1">IF($D25="","",INDEX('Start List'!$F$15:$F$139,MATCH($D25,'Start List'!$B$15:$B$139,0)))</f>
        <v/>
      </c>
      <c r="N25" s="80" t="str">
        <f ca="1">IF($D25="","",INDEX('Start List'!K$15:K$139,MATCH($D25,'Start List'!$B$15:$B$139,0)))</f>
        <v/>
      </c>
      <c r="O25" s="80" t="str">
        <f ca="1">IF($D25="","",INDEX('Start List'!L$15:L$139,MATCH($D25,'Start List'!$B$15:$B$139,0)))</f>
        <v/>
      </c>
      <c r="P25" s="80" t="str">
        <f ca="1">IF($D25="","",INDEX('Start List'!M$15:M$139,MATCH($D25,'Start List'!$B$15:$B$139,0)))</f>
        <v/>
      </c>
      <c r="Q25" s="80" t="str">
        <f ca="1">IF($D25="","",INDEX('Start List'!N$15:N$139,MATCH($D25,'Start List'!$B$15:$B$139,0)))</f>
        <v/>
      </c>
      <c r="R25" s="80" t="str">
        <f ca="1">IF($D25="","",INDEX('Start List'!O$15:O$139,MATCH($D25,'Start List'!$B$15:$B$139,0)))</f>
        <v/>
      </c>
      <c r="S25" s="80" t="str">
        <f ca="1">IF($D25="","",INDEX('Start List'!P$15:P$139,MATCH($D25,'Start List'!$B$15:$B$139,0)))</f>
        <v/>
      </c>
      <c r="T25" s="80" t="str">
        <f ca="1">IF($D25="","",INDEX('Start List'!Q$15:Q$139,MATCH($D25,'Start List'!$B$15:$B$139,0)))</f>
        <v/>
      </c>
      <c r="U25" s="80" t="str">
        <f ca="1">IF($D25="","",INDEX('Start List'!R$15:R$139,MATCH($D25,'Start List'!$B$15:$B$139,0)))</f>
        <v/>
      </c>
      <c r="V25" s="80" t="str">
        <f ca="1">IF($D25="","",INDEX('Start List'!S$15:S$139,MATCH($D25,'Start List'!$B$15:$B$139,0)))</f>
        <v/>
      </c>
      <c r="W25" s="80" t="str">
        <f ca="1">IF($D25="","",INDEX('Start List'!T$15:T$139,MATCH($D25,'Start List'!$B$15:$B$139,0)))</f>
        <v/>
      </c>
      <c r="X25" s="80" t="str">
        <f ca="1">IF($D25="","",INDEX('Start List'!U$15:U$139,MATCH($D25,'Start List'!$B$15:$B$139,0)))</f>
        <v/>
      </c>
      <c r="Y25" s="80" t="str">
        <f ca="1">IF($D25="","",INDEX('Start List'!V$15:V$139,MATCH($D25,'Start List'!$B$15:$B$139,0)))</f>
        <v/>
      </c>
      <c r="Z25" s="80" t="str">
        <f ca="1">IF($D25="","",INDEX('Start List'!W$15:W$139,MATCH($D25,'Start List'!$B$15:$B$139,0)))</f>
        <v/>
      </c>
      <c r="AA25" s="80" t="str">
        <f ca="1">IF($D25="","",INDEX('Start List'!X$15:X$139,MATCH($D25,'Start List'!$B$15:$B$139,0)))</f>
        <v/>
      </c>
      <c r="AB25" s="80" t="str">
        <f ca="1">IF($D25="","",INDEX('Start List'!Y$15:Y$139,MATCH($D25,'Start List'!$B$15:$B$139,0)))</f>
        <v/>
      </c>
    </row>
    <row r="26" spans="1:28" s="83" customFormat="1" ht="12.75" customHeight="1" x14ac:dyDescent="0.2">
      <c r="A26" s="59">
        <f>IF(OR(COUNT('Start List'!A:A)+COUNTIF('Start List'!$I$9:$I$14,"&lt;21")='By Category'!A25,A25=""),"",'By Category'!A25+1)</f>
        <v>18</v>
      </c>
      <c r="B26" s="74" t="str">
        <f>IF(A26="","",VLOOKUP(SMALL('Start List'!$I$9:$I$139,A26),'Start List'!$I$9:$J$14,2,FALSE))</f>
        <v xml:space="preserve">Cadets  </v>
      </c>
      <c r="C26" s="75">
        <f>IF(OR(B26="",COUNTIF($B$9:B26,B26)=1),"",COUNTIF($B$9:B26,B26)-1)</f>
        <v>1</v>
      </c>
      <c r="D26" s="227">
        <f ca="1">IF(""=C26,"",LARGE(INDIRECT(VLOOKUP(B26,'Start List'!$J$9:$N$14,5,FALSE)),C26))</f>
        <v>827.29118600000004</v>
      </c>
      <c r="E26" s="79" t="str">
        <f>IF(C26="","",VLOOKUP(B26,Data!$AK$2:$AN$7,4,FALSE)&amp;C26)</f>
        <v>C1</v>
      </c>
      <c r="F26" s="80" t="str">
        <f>IF(COUNTIF(Data!$D$2:$D$97,'By Category'!$E26)=0,"",VLOOKUP('By Category'!$E26,Data!$D$2:$H$97,'By Category'!F$8,FALSE))</f>
        <v/>
      </c>
      <c r="G26" s="80" t="str">
        <f>IF(COUNTIF(Data!$D$2:$D$97,'By Category'!$E26)=0,"",VLOOKUP('By Category'!$E26,Data!$D$2:$H$97,'By Category'!G$8,FALSE))</f>
        <v/>
      </c>
      <c r="H26" s="80">
        <f>IF(COUNTIF(Data!$D$2:$D$97,'By Category'!$E26)=0,"",VLOOKUP('By Category'!$E26,Data!$D$2:$H$97,'By Category'!H$8,FALSE))</f>
        <v>20</v>
      </c>
      <c r="I26" s="80">
        <f>IF(COUNTIF(Data!$D$2:$D$97,'By Category'!$E26)=0,"",VLOOKUP('By Category'!$E26,Data!$D$2:$H$97,'By Category'!I$8,FALSE))</f>
        <v>8</v>
      </c>
      <c r="J26" s="77" t="str">
        <f ca="1">IF(B26&lt;&gt;B25,B26,IF($D26="","",INDEX('Start List'!$D$15:$D$139,MATCH($D26,'Start List'!$B$15:$B$139,0))))</f>
        <v>Petar Blagec</v>
      </c>
      <c r="K26" s="77" t="str">
        <f ca="1">IF($D26="","",INDEX('Start List'!$E$15:$E$139,MATCH($D26,'Start List'!$B$15:$B$139,0)))</f>
        <v>CRO</v>
      </c>
      <c r="L26" s="77" t="e">
        <f ca="1">IF($D26="","",INDEX('Start List'!$H$15:$H$139,MATCH($D26,'Start List'!$B$15:$B$139,0)))</f>
        <v>#N/A</v>
      </c>
      <c r="M26" s="79" t="str">
        <f ca="1">IF($D26="","",INDEX('Start List'!$F$15:$F$139,MATCH($D26,'Start List'!$B$15:$B$139,0)))</f>
        <v>C</v>
      </c>
      <c r="N26" s="80">
        <f ca="1">IF($D26="","",INDEX('Start List'!K$15:K$139,MATCH($D26,'Start List'!$B$15:$B$139,0)))</f>
        <v>263</v>
      </c>
      <c r="O26" s="80">
        <f ca="1">IF($D26="","",INDEX('Start List'!L$15:L$139,MATCH($D26,'Start List'!$B$15:$B$139,0)))</f>
        <v>8</v>
      </c>
      <c r="P26" s="80">
        <f ca="1">IF($D26="","",INDEX('Start List'!M$15:M$139,MATCH($D26,'Start List'!$B$15:$B$139,0)))</f>
        <v>1</v>
      </c>
      <c r="Q26" s="80" t="str">
        <f ca="1">IF($D26="","",INDEX('Start List'!N$15:N$139,MATCH($D26,'Start List'!$B$15:$B$139,0)))</f>
        <v/>
      </c>
      <c r="R26" s="80">
        <f ca="1">IF($D26="","",INDEX('Start List'!O$15:O$139,MATCH($D26,'Start List'!$B$15:$B$139,0)))</f>
        <v>279</v>
      </c>
      <c r="S26" s="80">
        <f ca="1">IF($D26="","",INDEX('Start List'!P$15:P$139,MATCH($D26,'Start List'!$B$15:$B$139,0)))</f>
        <v>8</v>
      </c>
      <c r="T26" s="80">
        <f ca="1">IF($D26="","",INDEX('Start List'!Q$15:Q$139,MATCH($D26,'Start List'!$B$15:$B$139,0)))</f>
        <v>6</v>
      </c>
      <c r="U26" s="80" t="str">
        <f ca="1">IF($D26="","",INDEX('Start List'!R$15:R$139,MATCH($D26,'Start List'!$B$15:$B$139,0)))</f>
        <v/>
      </c>
      <c r="V26" s="80">
        <f ca="1">IF($D26="","",INDEX('Start List'!S$15:S$139,MATCH($D26,'Start List'!$B$15:$B$139,0)))</f>
        <v>285</v>
      </c>
      <c r="W26" s="80">
        <f ca="1">IF($D26="","",INDEX('Start List'!T$15:T$139,MATCH($D26,'Start List'!$B$15:$B$139,0)))</f>
        <v>13</v>
      </c>
      <c r="X26" s="80">
        <f ca="1">IF($D26="","",INDEX('Start List'!U$15:U$139,MATCH($D26,'Start List'!$B$15:$B$139,0)))</f>
        <v>5</v>
      </c>
      <c r="Y26" s="80" t="str">
        <f ca="1">IF($D26="","",INDEX('Start List'!V$15:V$139,MATCH($D26,'Start List'!$B$15:$B$139,0)))</f>
        <v/>
      </c>
      <c r="Z26" s="80">
        <f ca="1">IF($D26="","",INDEX('Start List'!W$15:W$139,MATCH($D26,'Start List'!$B$15:$B$139,0)))</f>
        <v>827</v>
      </c>
      <c r="AA26" s="80">
        <f ca="1">IF($D26="","",INDEX('Start List'!X$15:X$139,MATCH($D26,'Start List'!$B$15:$B$139,0)))</f>
        <v>29</v>
      </c>
      <c r="AB26" s="80">
        <f ca="1">IF($D26="","",INDEX('Start List'!Y$15:Y$139,MATCH($D26,'Start List'!$B$15:$B$139,0)))</f>
        <v>12</v>
      </c>
    </row>
    <row r="27" spans="1:28" s="83" customFormat="1" ht="12.75" customHeight="1" x14ac:dyDescent="0.2">
      <c r="A27" s="59">
        <f>IF(OR(COUNT('Start List'!A:A)+COUNTIF('Start List'!$I$9:$I$14,"&lt;21")='By Category'!A26,A26=""),"",'By Category'!A26+1)</f>
        <v>19</v>
      </c>
      <c r="B27" s="74" t="str">
        <f>IF(A27="","",VLOOKUP(SMALL('Start List'!$I$9:$I$139,A27),'Start List'!$I$9:$J$14,2,FALSE))</f>
        <v xml:space="preserve">Cadets  </v>
      </c>
      <c r="C27" s="75">
        <f>IF(OR(B27="",COUNTIF($B$9:B27,B27)=1),"",COUNTIF($B$9:B27,B27)-1)</f>
        <v>2</v>
      </c>
      <c r="D27" s="227">
        <f ca="1">IF(""=C27,"",LARGE(INDIRECT(VLOOKUP(B27,'Start List'!$J$9:$N$14,5,FALSE)),C27))</f>
        <v>824.18168200000002</v>
      </c>
      <c r="E27" s="79" t="str">
        <f>IF(C27="","",VLOOKUP(B27,Data!$AK$2:$AN$7,4,FALSE)&amp;C27)</f>
        <v>C2</v>
      </c>
      <c r="F27" s="80" t="str">
        <f>IF(COUNTIF(Data!$D$2:$D$97,'By Category'!$E27)=0,"",VLOOKUP('By Category'!$E27,Data!$D$2:$H$97,'By Category'!F$8,FALSE))</f>
        <v/>
      </c>
      <c r="G27" s="80" t="str">
        <f>IF(COUNTIF(Data!$D$2:$D$97,'By Category'!$E27)=0,"",VLOOKUP('By Category'!$E27,Data!$D$2:$H$97,'By Category'!G$8,FALSE))</f>
        <v/>
      </c>
      <c r="H27" s="80">
        <f>IF(COUNTIF(Data!$D$2:$D$97,'By Category'!$E27)=0,"",VLOOKUP('By Category'!$E27,Data!$D$2:$H$97,'By Category'!H$8,FALSE))</f>
        <v>23</v>
      </c>
      <c r="I27" s="80">
        <f>IF(COUNTIF(Data!$D$2:$D$97,'By Category'!$E27)=0,"",VLOOKUP('By Category'!$E27,Data!$D$2:$H$97,'By Category'!I$8,FALSE))</f>
        <v>9</v>
      </c>
      <c r="J27" s="77" t="str">
        <f ca="1">IF(B27&lt;&gt;B26,B27,IF($D27="","",INDEX('Start List'!$D$15:$D$139,MATCH($D27,'Start List'!$B$15:$B$139,0))))</f>
        <v>Karla Bartolović</v>
      </c>
      <c r="K27" s="77" t="str">
        <f ca="1">IF($D27="","",INDEX('Start List'!$E$15:$E$139,MATCH($D27,'Start List'!$B$15:$B$139,0)))</f>
        <v>CRO</v>
      </c>
      <c r="L27" s="77" t="e">
        <f ca="1">IF($D27="","",INDEX('Start List'!$H$15:$H$139,MATCH($D27,'Start List'!$B$15:$B$139,0)))</f>
        <v>#N/A</v>
      </c>
      <c r="M27" s="79" t="str">
        <f ca="1">IF($D27="","",INDEX('Start List'!$F$15:$F$139,MATCH($D27,'Start List'!$B$15:$B$139,0)))</f>
        <v>C</v>
      </c>
      <c r="N27" s="80">
        <f ca="1">IF($D27="","",INDEX('Start List'!K$15:K$139,MATCH($D27,'Start List'!$B$15:$B$139,0)))</f>
        <v>264</v>
      </c>
      <c r="O27" s="80">
        <f ca="1">IF($D27="","",INDEX('Start List'!L$15:L$139,MATCH($D27,'Start List'!$B$15:$B$139,0)))</f>
        <v>4</v>
      </c>
      <c r="P27" s="80">
        <f ca="1">IF($D27="","",INDEX('Start List'!M$15:M$139,MATCH($D27,'Start List'!$B$15:$B$139,0)))</f>
        <v>4</v>
      </c>
      <c r="Q27" s="80" t="str">
        <f ca="1">IF($D27="","",INDEX('Start List'!N$15:N$139,MATCH($D27,'Start List'!$B$15:$B$139,0)))</f>
        <v/>
      </c>
      <c r="R27" s="80">
        <f ca="1">IF($D27="","",INDEX('Start List'!O$15:O$139,MATCH($D27,'Start List'!$B$15:$B$139,0)))</f>
        <v>271</v>
      </c>
      <c r="S27" s="80">
        <f ca="1">IF($D27="","",INDEX('Start List'!P$15:P$139,MATCH($D27,'Start List'!$B$15:$B$139,0)))</f>
        <v>3</v>
      </c>
      <c r="T27" s="80">
        <f ca="1">IF($D27="","",INDEX('Start List'!Q$15:Q$139,MATCH($D27,'Start List'!$B$15:$B$139,0)))</f>
        <v>5</v>
      </c>
      <c r="U27" s="80" t="str">
        <f ca="1">IF($D27="","",INDEX('Start List'!R$15:R$139,MATCH($D27,'Start List'!$B$15:$B$139,0)))</f>
        <v/>
      </c>
      <c r="V27" s="80">
        <f ca="1">IF($D27="","",INDEX('Start List'!S$15:S$139,MATCH($D27,'Start List'!$B$15:$B$139,0)))</f>
        <v>289</v>
      </c>
      <c r="W27" s="80">
        <f ca="1">IF($D27="","",INDEX('Start List'!T$15:T$139,MATCH($D27,'Start List'!$B$15:$B$139,0)))</f>
        <v>11</v>
      </c>
      <c r="X27" s="80">
        <f ca="1">IF($D27="","",INDEX('Start List'!U$15:U$139,MATCH($D27,'Start List'!$B$15:$B$139,0)))</f>
        <v>8</v>
      </c>
      <c r="Y27" s="80" t="str">
        <f ca="1">IF($D27="","",INDEX('Start List'!V$15:V$139,MATCH($D27,'Start List'!$B$15:$B$139,0)))</f>
        <v/>
      </c>
      <c r="Z27" s="80">
        <f ca="1">IF($D27="","",INDEX('Start List'!W$15:W$139,MATCH($D27,'Start List'!$B$15:$B$139,0)))</f>
        <v>824</v>
      </c>
      <c r="AA27" s="80">
        <f ca="1">IF($D27="","",INDEX('Start List'!X$15:X$139,MATCH($D27,'Start List'!$B$15:$B$139,0)))</f>
        <v>18</v>
      </c>
      <c r="AB27" s="80">
        <f ca="1">IF($D27="","",INDEX('Start List'!Y$15:Y$139,MATCH($D27,'Start List'!$B$15:$B$139,0)))</f>
        <v>17</v>
      </c>
    </row>
    <row r="28" spans="1:28" s="83" customFormat="1" ht="12.75" customHeight="1" x14ac:dyDescent="0.2">
      <c r="A28" s="59">
        <f>IF(OR(COUNT('Start List'!A:A)+COUNTIF('Start List'!$I$9:$I$14,"&lt;21")='By Category'!A27,A27=""),"",'By Category'!A27+1)</f>
        <v>20</v>
      </c>
      <c r="B28" s="74" t="str">
        <f>IF(A28="","",VLOOKUP(SMALL('Start List'!$I$9:$I$139,A28),'Start List'!$I$9:$J$14,2,FALSE))</f>
        <v xml:space="preserve">Cadets  </v>
      </c>
      <c r="C28" s="75">
        <f>IF(OR(B28="",COUNTIF($B$9:B28,B28)=1),"",COUNTIF($B$9:B28,B28)-1)</f>
        <v>3</v>
      </c>
      <c r="D28" s="227">
        <f ca="1">IF(""=C28,"",LARGE(INDIRECT(VLOOKUP(B28,'Start List'!$J$9:$N$14,5,FALSE)),C28))</f>
        <v>804.22098400000004</v>
      </c>
      <c r="E28" s="79" t="str">
        <f>IF(C28="","",VLOOKUP(B28,Data!$AK$2:$AN$7,4,FALSE)&amp;C28)</f>
        <v>C3</v>
      </c>
      <c r="F28" s="80" t="str">
        <f>IF(COUNTIF(Data!$D$2:$D$97,'By Category'!$E28)=0,"",VLOOKUP('By Category'!$E28,Data!$D$2:$H$97,'By Category'!F$8,FALSE))</f>
        <v/>
      </c>
      <c r="G28" s="80" t="str">
        <f>IF(COUNTIF(Data!$D$2:$D$97,'By Category'!$E28)=0,"",VLOOKUP('By Category'!$E28,Data!$D$2:$H$97,'By Category'!G$8,FALSE))</f>
        <v/>
      </c>
      <c r="H28" s="80">
        <f>IF(COUNTIF(Data!$D$2:$D$97,'By Category'!$E28)=0,"",VLOOKUP('By Category'!$E28,Data!$D$2:$H$97,'By Category'!H$8,FALSE))</f>
        <v>24</v>
      </c>
      <c r="I28" s="80">
        <f>IF(COUNTIF(Data!$D$2:$D$97,'By Category'!$E28)=0,"",VLOOKUP('By Category'!$E28,Data!$D$2:$H$97,'By Category'!I$8,FALSE))</f>
        <v>9</v>
      </c>
      <c r="J28" s="77" t="str">
        <f ca="1">IF(B28&lt;&gt;B27,B28,IF($D28="","",INDEX('Start List'!$D$15:$D$139,MATCH($D28,'Start List'!$B$15:$B$139,0))))</f>
        <v>Petra Petak</v>
      </c>
      <c r="K28" s="77" t="str">
        <f ca="1">IF($D28="","",INDEX('Start List'!$E$15:$E$139,MATCH($D28,'Start List'!$B$15:$B$139,0)))</f>
        <v>CRO</v>
      </c>
      <c r="L28" s="77" t="e">
        <f ca="1">IF($D28="","",INDEX('Start List'!$H$15:$H$139,MATCH($D28,'Start List'!$B$15:$B$139,0)))</f>
        <v>#N/A</v>
      </c>
      <c r="M28" s="79" t="str">
        <f ca="1">IF($D28="","",INDEX('Start List'!$F$15:$F$139,MATCH($D28,'Start List'!$B$15:$B$139,0)))</f>
        <v>C</v>
      </c>
      <c r="N28" s="80">
        <f ca="1">IF($D28="","",INDEX('Start List'!K$15:K$139,MATCH($D28,'Start List'!$B$15:$B$139,0)))</f>
        <v>250</v>
      </c>
      <c r="O28" s="80">
        <f ca="1">IF($D28="","",INDEX('Start List'!L$15:L$139,MATCH($D28,'Start List'!$B$15:$B$139,0)))</f>
        <v>7</v>
      </c>
      <c r="P28" s="80">
        <f ca="1">IF($D28="","",INDEX('Start List'!M$15:M$139,MATCH($D28,'Start List'!$B$15:$B$139,0)))</f>
        <v>1</v>
      </c>
      <c r="Q28" s="80" t="str">
        <f ca="1">IF($D28="","",INDEX('Start List'!N$15:N$139,MATCH($D28,'Start List'!$B$15:$B$139,0)))</f>
        <v/>
      </c>
      <c r="R28" s="80">
        <f ca="1">IF($D28="","",INDEX('Start List'!O$15:O$139,MATCH($D28,'Start List'!$B$15:$B$139,0)))</f>
        <v>281</v>
      </c>
      <c r="S28" s="80">
        <f ca="1">IF($D28="","",INDEX('Start List'!P$15:P$139,MATCH($D28,'Start List'!$B$15:$B$139,0)))</f>
        <v>11</v>
      </c>
      <c r="T28" s="80">
        <f ca="1">IF($D28="","",INDEX('Start List'!Q$15:Q$139,MATCH($D28,'Start List'!$B$15:$B$139,0)))</f>
        <v>5</v>
      </c>
      <c r="U28" s="80" t="str">
        <f ca="1">IF($D28="","",INDEX('Start List'!R$15:R$139,MATCH($D28,'Start List'!$B$15:$B$139,0)))</f>
        <v/>
      </c>
      <c r="V28" s="80">
        <f ca="1">IF($D28="","",INDEX('Start List'!S$15:S$139,MATCH($D28,'Start List'!$B$15:$B$139,0)))</f>
        <v>273</v>
      </c>
      <c r="W28" s="80">
        <f ca="1">IF($D28="","",INDEX('Start List'!T$15:T$139,MATCH($D28,'Start List'!$B$15:$B$139,0)))</f>
        <v>4</v>
      </c>
      <c r="X28" s="80">
        <f ca="1">IF($D28="","",INDEX('Start List'!U$15:U$139,MATCH($D28,'Start List'!$B$15:$B$139,0)))</f>
        <v>4</v>
      </c>
      <c r="Y28" s="80" t="str">
        <f ca="1">IF($D28="","",INDEX('Start List'!V$15:V$139,MATCH($D28,'Start List'!$B$15:$B$139,0)))</f>
        <v/>
      </c>
      <c r="Z28" s="80">
        <f ca="1">IF($D28="","",INDEX('Start List'!W$15:W$139,MATCH($D28,'Start List'!$B$15:$B$139,0)))</f>
        <v>804</v>
      </c>
      <c r="AA28" s="80">
        <f ca="1">IF($D28="","",INDEX('Start List'!X$15:X$139,MATCH($D28,'Start List'!$B$15:$B$139,0)))</f>
        <v>22</v>
      </c>
      <c r="AB28" s="80">
        <f ca="1">IF($D28="","",INDEX('Start List'!Y$15:Y$139,MATCH($D28,'Start List'!$B$15:$B$139,0)))</f>
        <v>10</v>
      </c>
    </row>
    <row r="29" spans="1:28" s="83" customFormat="1" ht="12.75" customHeight="1" collapsed="1" x14ac:dyDescent="0.2">
      <c r="A29" s="59">
        <f>IF(OR(COUNT('Start List'!A:A)+COUNTIF('Start List'!$I$9:$I$14,"&lt;21")='By Category'!A28,A28=""),"",'By Category'!A28+1)</f>
        <v>21</v>
      </c>
      <c r="B29" s="74" t="str">
        <f>IF(A29="","",VLOOKUP(SMALL('Start List'!$I$9:$I$139,A29),'Start List'!$I$9:$J$14,2,FALSE))</f>
        <v xml:space="preserve">Cadets  </v>
      </c>
      <c r="C29" s="75">
        <f>IF(OR(B29="",COUNTIF($B$9:B29,B29)=1),"",COUNTIF($B$9:B29,B29)-1)</f>
        <v>4</v>
      </c>
      <c r="D29" s="227">
        <f ca="1">IF(""=C29,"",LARGE(INDIRECT(VLOOKUP(B29,'Start List'!$J$9:$N$14,5,FALSE)),C29))</f>
        <v>799.13148000000001</v>
      </c>
      <c r="E29" s="79" t="str">
        <f>IF(C29="","",VLOOKUP(B29,Data!$AK$2:$AN$7,4,FALSE)&amp;C29)</f>
        <v>C4</v>
      </c>
      <c r="F29" s="80" t="str">
        <f>IF(COUNTIF(Data!$D$2:$D$97,'By Category'!$E29)=0,"",VLOOKUP('By Category'!$E29,Data!$D$2:$H$97,'By Category'!F$8,FALSE))</f>
        <v/>
      </c>
      <c r="G29" s="80" t="str">
        <f>IF(COUNTIF(Data!$D$2:$D$97,'By Category'!$E29)=0,"",VLOOKUP('By Category'!$E29,Data!$D$2:$H$97,'By Category'!G$8,FALSE))</f>
        <v/>
      </c>
      <c r="H29" s="80">
        <f>IF(COUNTIF(Data!$D$2:$D$97,'By Category'!$E29)=0,"",VLOOKUP('By Category'!$E29,Data!$D$2:$H$97,'By Category'!H$8,FALSE))</f>
        <v>21</v>
      </c>
      <c r="I29" s="80">
        <f>IF(COUNTIF(Data!$D$2:$D$97,'By Category'!$E29)=0,"",VLOOKUP('By Category'!$E29,Data!$D$2:$H$97,'By Category'!I$8,FALSE))</f>
        <v>8</v>
      </c>
      <c r="J29" s="77" t="str">
        <f ca="1">IF(B29&lt;&gt;B28,B29,IF($D29="","",INDEX('Start List'!$D$15:$D$139,MATCH($D29,'Start List'!$B$15:$B$139,0))))</f>
        <v>Stela Čuk</v>
      </c>
      <c r="K29" s="77" t="str">
        <f ca="1">IF($D29="","",INDEX('Start List'!$E$15:$E$139,MATCH($D29,'Start List'!$B$15:$B$139,0)))</f>
        <v>CRO</v>
      </c>
      <c r="L29" s="77" t="e">
        <f ca="1">IF($D29="","",INDEX('Start List'!$H$15:$H$139,MATCH($D29,'Start List'!$B$15:$B$139,0)))</f>
        <v>#N/A</v>
      </c>
      <c r="M29" s="79" t="str">
        <f ca="1">IF($D29="","",INDEX('Start List'!$F$15:$F$139,MATCH($D29,'Start List'!$B$15:$B$139,0)))</f>
        <v>C</v>
      </c>
      <c r="N29" s="80">
        <f ca="1">IF($D29="","",INDEX('Start List'!K$15:K$139,MATCH($D29,'Start List'!$B$15:$B$139,0)))</f>
        <v>251</v>
      </c>
      <c r="O29" s="80">
        <f ca="1">IF($D29="","",INDEX('Start List'!L$15:L$139,MATCH($D29,'Start List'!$B$15:$B$139,0)))</f>
        <v>6</v>
      </c>
      <c r="P29" s="80">
        <f ca="1">IF($D29="","",INDEX('Start List'!M$15:M$139,MATCH($D29,'Start List'!$B$15:$B$139,0)))</f>
        <v>1</v>
      </c>
      <c r="Q29" s="80" t="str">
        <f ca="1">IF($D29="","",INDEX('Start List'!N$15:N$139,MATCH($D29,'Start List'!$B$15:$B$139,0)))</f>
        <v/>
      </c>
      <c r="R29" s="80">
        <f ca="1">IF($D29="","",INDEX('Start List'!O$15:O$139,MATCH($D29,'Start List'!$B$15:$B$139,0)))</f>
        <v>270</v>
      </c>
      <c r="S29" s="80">
        <f ca="1">IF($D29="","",INDEX('Start List'!P$15:P$139,MATCH($D29,'Start List'!$B$15:$B$139,0)))</f>
        <v>2</v>
      </c>
      <c r="T29" s="80">
        <f ca="1">IF($D29="","",INDEX('Start List'!Q$15:Q$139,MATCH($D29,'Start List'!$B$15:$B$139,0)))</f>
        <v>5</v>
      </c>
      <c r="U29" s="80" t="str">
        <f ca="1">IF($D29="","",INDEX('Start List'!R$15:R$139,MATCH($D29,'Start List'!$B$15:$B$139,0)))</f>
        <v/>
      </c>
      <c r="V29" s="80">
        <f ca="1">IF($D29="","",INDEX('Start List'!S$15:S$139,MATCH($D29,'Start List'!$B$15:$B$139,0)))</f>
        <v>278</v>
      </c>
      <c r="W29" s="80">
        <f ca="1">IF($D29="","",INDEX('Start List'!T$15:T$139,MATCH($D29,'Start List'!$B$15:$B$139,0)))</f>
        <v>5</v>
      </c>
      <c r="X29" s="80">
        <f ca="1">IF($D29="","",INDEX('Start List'!U$15:U$139,MATCH($D29,'Start List'!$B$15:$B$139,0)))</f>
        <v>9</v>
      </c>
      <c r="Y29" s="80" t="str">
        <f ca="1">IF($D29="","",INDEX('Start List'!V$15:V$139,MATCH($D29,'Start List'!$B$15:$B$139,0)))</f>
        <v/>
      </c>
      <c r="Z29" s="80">
        <f ca="1">IF($D29="","",INDEX('Start List'!W$15:W$139,MATCH($D29,'Start List'!$B$15:$B$139,0)))</f>
        <v>799</v>
      </c>
      <c r="AA29" s="80">
        <f ca="1">IF($D29="","",INDEX('Start List'!X$15:X$139,MATCH($D29,'Start List'!$B$15:$B$139,0)))</f>
        <v>13</v>
      </c>
      <c r="AB29" s="80">
        <f ca="1">IF($D29="","",INDEX('Start List'!Y$15:Y$139,MATCH($D29,'Start List'!$B$15:$B$139,0)))</f>
        <v>15</v>
      </c>
    </row>
    <row r="30" spans="1:28" s="83" customFormat="1" ht="12.75" customHeight="1" collapsed="1" x14ac:dyDescent="0.2">
      <c r="A30" s="59">
        <f>IF(OR(COUNT('Start List'!A:A)+COUNTIF('Start List'!$I$9:$I$14,"&lt;21")='By Category'!A29,A29=""),"",'By Category'!A29+1)</f>
        <v>22</v>
      </c>
      <c r="B30" s="74" t="str">
        <f>IF(A30="","",VLOOKUP(SMALL('Start List'!$I$9:$I$139,A30),'Start List'!$I$9:$J$14,2,FALSE))</f>
        <v xml:space="preserve">Cadets  </v>
      </c>
      <c r="C30" s="75">
        <f>IF(OR(B30="",COUNTIF($B$9:B30,B30)=1),"",COUNTIF($B$9:B30,B30)-1)</f>
        <v>5</v>
      </c>
      <c r="D30" s="227">
        <f ca="1">IF(""=C30,"",LARGE(INDIRECT(VLOOKUP(B30,'Start List'!$J$9:$N$14,5,FALSE)),C30))</f>
        <v>796.16097699999989</v>
      </c>
      <c r="E30" s="79" t="str">
        <f>IF(C30="","",VLOOKUP(B30,Data!$AK$2:$AN$7,4,FALSE)&amp;C30)</f>
        <v>C5</v>
      </c>
      <c r="F30" s="80" t="str">
        <f>IF(COUNTIF(Data!$D$2:$D$97,'By Category'!$E30)=0,"",VLOOKUP('By Category'!$E30,Data!$D$2:$H$97,'By Category'!F$8,FALSE))</f>
        <v/>
      </c>
      <c r="G30" s="80" t="str">
        <f>IF(COUNTIF(Data!$D$2:$D$97,'By Category'!$E30)=0,"",VLOOKUP('By Category'!$E30,Data!$D$2:$H$97,'By Category'!G$8,FALSE))</f>
        <v/>
      </c>
      <c r="H30" s="80">
        <f>IF(COUNTIF(Data!$D$2:$D$97,'By Category'!$E30)=0,"",VLOOKUP('By Category'!$E30,Data!$D$2:$H$97,'By Category'!H$8,FALSE))</f>
        <v>21</v>
      </c>
      <c r="I30" s="80">
        <f>IF(COUNTIF(Data!$D$2:$D$97,'By Category'!$E30)=0,"",VLOOKUP('By Category'!$E30,Data!$D$2:$H$97,'By Category'!I$8,FALSE))</f>
        <v>8</v>
      </c>
      <c r="J30" s="77" t="str">
        <f ca="1">IF(B30&lt;&gt;B29,B30,IF($D30="","",INDEX('Start List'!$D$15:$D$139,MATCH($D30,'Start List'!$B$15:$B$139,0))))</f>
        <v>Fran Županić</v>
      </c>
      <c r="K30" s="77" t="str">
        <f ca="1">IF($D30="","",INDEX('Start List'!$E$15:$E$139,MATCH($D30,'Start List'!$B$15:$B$139,0)))</f>
        <v>CRO</v>
      </c>
      <c r="L30" s="77" t="e">
        <f ca="1">IF($D30="","",INDEX('Start List'!$H$15:$H$139,MATCH($D30,'Start List'!$B$15:$B$139,0)))</f>
        <v>#N/A</v>
      </c>
      <c r="M30" s="79" t="str">
        <f ca="1">IF($D30="","",INDEX('Start List'!$F$15:$F$139,MATCH($D30,'Start List'!$B$15:$B$139,0)))</f>
        <v>C</v>
      </c>
      <c r="N30" s="80">
        <f ca="1">IF($D30="","",INDEX('Start List'!K$15:K$139,MATCH($D30,'Start List'!$B$15:$B$139,0)))</f>
        <v>245</v>
      </c>
      <c r="O30" s="80">
        <f ca="1">IF($D30="","",INDEX('Start List'!L$15:L$139,MATCH($D30,'Start List'!$B$15:$B$139,0)))</f>
        <v>5</v>
      </c>
      <c r="P30" s="80">
        <f ca="1">IF($D30="","",INDEX('Start List'!M$15:M$139,MATCH($D30,'Start List'!$B$15:$B$139,0)))</f>
        <v>0</v>
      </c>
      <c r="Q30" s="80" t="str">
        <f ca="1">IF($D30="","",INDEX('Start List'!N$15:N$139,MATCH($D30,'Start List'!$B$15:$B$139,0)))</f>
        <v/>
      </c>
      <c r="R30" s="80">
        <f ca="1">IF($D30="","",INDEX('Start List'!O$15:O$139,MATCH($D30,'Start List'!$B$15:$B$139,0)))</f>
        <v>275</v>
      </c>
      <c r="S30" s="80">
        <f ca="1">IF($D30="","",INDEX('Start List'!P$15:P$139,MATCH($D30,'Start List'!$B$15:$B$139,0)))</f>
        <v>3</v>
      </c>
      <c r="T30" s="80">
        <f ca="1">IF($D30="","",INDEX('Start List'!Q$15:Q$139,MATCH($D30,'Start List'!$B$15:$B$139,0)))</f>
        <v>6</v>
      </c>
      <c r="U30" s="80" t="str">
        <f ca="1">IF($D30="","",INDEX('Start List'!R$15:R$139,MATCH($D30,'Start List'!$B$15:$B$139,0)))</f>
        <v/>
      </c>
      <c r="V30" s="80">
        <f ca="1">IF($D30="","",INDEX('Start List'!S$15:S$139,MATCH($D30,'Start List'!$B$15:$B$139,0)))</f>
        <v>276</v>
      </c>
      <c r="W30" s="80">
        <f ca="1">IF($D30="","",INDEX('Start List'!T$15:T$139,MATCH($D30,'Start List'!$B$15:$B$139,0)))</f>
        <v>8</v>
      </c>
      <c r="X30" s="80">
        <f ca="1">IF($D30="","",INDEX('Start List'!U$15:U$139,MATCH($D30,'Start List'!$B$15:$B$139,0)))</f>
        <v>4</v>
      </c>
      <c r="Y30" s="80" t="str">
        <f ca="1">IF($D30="","",INDEX('Start List'!V$15:V$139,MATCH($D30,'Start List'!$B$15:$B$139,0)))</f>
        <v/>
      </c>
      <c r="Z30" s="80">
        <f ca="1">IF($D30="","",INDEX('Start List'!W$15:W$139,MATCH($D30,'Start List'!$B$15:$B$139,0)))</f>
        <v>796</v>
      </c>
      <c r="AA30" s="80">
        <f ca="1">IF($D30="","",INDEX('Start List'!X$15:X$139,MATCH($D30,'Start List'!$B$15:$B$139,0)))</f>
        <v>16</v>
      </c>
      <c r="AB30" s="80">
        <f ca="1">IF($D30="","",INDEX('Start List'!Y$15:Y$139,MATCH($D30,'Start List'!$B$15:$B$139,0)))</f>
        <v>10</v>
      </c>
    </row>
    <row r="31" spans="1:28" s="83" customFormat="1" ht="12.75" customHeight="1" x14ac:dyDescent="0.2">
      <c r="A31" s="59">
        <f>IF(OR(COUNT('Start List'!A:A)+COUNTIF('Start List'!$I$9:$I$14,"&lt;21")='By Category'!A30,A30=""),"",'By Category'!A30+1)</f>
        <v>23</v>
      </c>
      <c r="B31" s="74" t="str">
        <f>IF(A31="","",VLOOKUP(SMALL('Start List'!$I$9:$I$139,A31),'Start List'!$I$9:$J$14,2,FALSE))</f>
        <v xml:space="preserve">Cadets  </v>
      </c>
      <c r="C31" s="75">
        <f>IF(OR(B31="",COUNTIF($B$9:B31,B31)=1),"",COUNTIF($B$9:B31,B31)-1)</f>
        <v>6</v>
      </c>
      <c r="D31" s="227">
        <f ca="1">IF(""=C31,"",LARGE(INDIRECT(VLOOKUP(B31,'Start List'!$J$9:$N$14,5,FALSE)),C31))</f>
        <v>770.13078300000006</v>
      </c>
      <c r="E31" s="79" t="str">
        <f>IF(C31="","",VLOOKUP(B31,Data!$AK$2:$AN$7,4,FALSE)&amp;C31)</f>
        <v>C6</v>
      </c>
      <c r="F31" s="80" t="str">
        <f>IF(COUNTIF(Data!$D$2:$D$97,'By Category'!$E31)=0,"",VLOOKUP('By Category'!$E31,Data!$D$2:$H$97,'By Category'!F$8,FALSE))</f>
        <v/>
      </c>
      <c r="G31" s="80" t="str">
        <f>IF(COUNTIF(Data!$D$2:$D$97,'By Category'!$E31)=0,"",VLOOKUP('By Category'!$E31,Data!$D$2:$H$97,'By Category'!G$8,FALSE))</f>
        <v/>
      </c>
      <c r="H31" s="80">
        <f>IF(COUNTIF(Data!$D$2:$D$97,'By Category'!$E31)=0,"",VLOOKUP('By Category'!$E31,Data!$D$2:$H$97,'By Category'!H$8,FALSE))</f>
        <v>24</v>
      </c>
      <c r="I31" s="80">
        <f>IF(COUNTIF(Data!$D$2:$D$97,'By Category'!$E31)=0,"",VLOOKUP('By Category'!$E31,Data!$D$2:$H$97,'By Category'!I$8,FALSE))</f>
        <v>9</v>
      </c>
      <c r="J31" s="77" t="str">
        <f ca="1">IF(B31&lt;&gt;B30,B31,IF($D31="","",INDEX('Start List'!$D$15:$D$139,MATCH($D31,'Start List'!$B$15:$B$139,0))))</f>
        <v>Vyskočil Denis</v>
      </c>
      <c r="K31" s="77" t="str">
        <f ca="1">IF($D31="","",INDEX('Start List'!$E$15:$E$139,MATCH($D31,'Start List'!$B$15:$B$139,0)))</f>
        <v>CZE - Falcon Crossbow Plumlov</v>
      </c>
      <c r="L31" s="77" t="e">
        <f ca="1">IF($D31="","",INDEX('Start List'!$H$15:$H$139,MATCH($D31,'Start List'!$B$15:$B$139,0)))</f>
        <v>#N/A</v>
      </c>
      <c r="M31" s="79" t="str">
        <f ca="1">IF($D31="","",INDEX('Start List'!$F$15:$F$139,MATCH($D31,'Start List'!$B$15:$B$139,0)))</f>
        <v>C</v>
      </c>
      <c r="N31" s="80">
        <f ca="1">IF($D31="","",INDEX('Start List'!K$15:K$139,MATCH($D31,'Start List'!$B$15:$B$139,0)))</f>
        <v>225</v>
      </c>
      <c r="O31" s="80">
        <f ca="1">IF($D31="","",INDEX('Start List'!L$15:L$139,MATCH($D31,'Start List'!$B$15:$B$139,0)))</f>
        <v>2</v>
      </c>
      <c r="P31" s="80">
        <f ca="1">IF($D31="","",INDEX('Start List'!M$15:M$139,MATCH($D31,'Start List'!$B$15:$B$139,0)))</f>
        <v>0</v>
      </c>
      <c r="Q31" s="80" t="str">
        <f ca="1">IF($D31="","",INDEX('Start List'!N$15:N$139,MATCH($D31,'Start List'!$B$15:$B$139,0)))</f>
        <v/>
      </c>
      <c r="R31" s="80">
        <f ca="1">IF($D31="","",INDEX('Start List'!O$15:O$139,MATCH($D31,'Start List'!$B$15:$B$139,0)))</f>
        <v>269</v>
      </c>
      <c r="S31" s="80">
        <f ca="1">IF($D31="","",INDEX('Start List'!P$15:P$139,MATCH($D31,'Start List'!$B$15:$B$139,0)))</f>
        <v>4</v>
      </c>
      <c r="T31" s="80">
        <f ca="1">IF($D31="","",INDEX('Start List'!Q$15:Q$139,MATCH($D31,'Start List'!$B$15:$B$139,0)))</f>
        <v>4</v>
      </c>
      <c r="U31" s="80" t="str">
        <f ca="1">IF($D31="","",INDEX('Start List'!R$15:R$139,MATCH($D31,'Start List'!$B$15:$B$139,0)))</f>
        <v/>
      </c>
      <c r="V31" s="80">
        <f ca="1">IF($D31="","",INDEX('Start List'!S$15:S$139,MATCH($D31,'Start List'!$B$15:$B$139,0)))</f>
        <v>276</v>
      </c>
      <c r="W31" s="80">
        <f ca="1">IF($D31="","",INDEX('Start List'!T$15:T$139,MATCH($D31,'Start List'!$B$15:$B$139,0)))</f>
        <v>7</v>
      </c>
      <c r="X31" s="80">
        <f ca="1">IF($D31="","",INDEX('Start List'!U$15:U$139,MATCH($D31,'Start List'!$B$15:$B$139,0)))</f>
        <v>4</v>
      </c>
      <c r="Y31" s="80" t="str">
        <f ca="1">IF($D31="","",INDEX('Start List'!V$15:V$139,MATCH($D31,'Start List'!$B$15:$B$139,0)))</f>
        <v/>
      </c>
      <c r="Z31" s="80">
        <f ca="1">IF($D31="","",INDEX('Start List'!W$15:W$139,MATCH($D31,'Start List'!$B$15:$B$139,0)))</f>
        <v>770</v>
      </c>
      <c r="AA31" s="80">
        <f ca="1">IF($D31="","",INDEX('Start List'!X$15:X$139,MATCH($D31,'Start List'!$B$15:$B$139,0)))</f>
        <v>13</v>
      </c>
      <c r="AB31" s="80">
        <f ca="1">IF($D31="","",INDEX('Start List'!Y$15:Y$139,MATCH($D31,'Start List'!$B$15:$B$139,0)))</f>
        <v>8</v>
      </c>
    </row>
    <row r="32" spans="1:28" s="78" customFormat="1" ht="12.75" customHeight="1" x14ac:dyDescent="0.2">
      <c r="A32" s="59">
        <f>IF(OR(COUNT('Start List'!A:A)+COUNTIF('Start List'!$I$9:$I$14,"&lt;21")='By Category'!A31,A31=""),"",'By Category'!A31+1)</f>
        <v>24</v>
      </c>
      <c r="B32" s="74" t="str">
        <f>IF(A32="","",VLOOKUP(SMALL('Start List'!$I$9:$I$139,A32),'Start List'!$I$9:$J$14,2,FALSE))</f>
        <v xml:space="preserve">Cadets  </v>
      </c>
      <c r="C32" s="75">
        <f>IF(OR(B32="",COUNTIF($B$9:B32,B32)=1),"",COUNTIF($B$9:B32,B32)-1)</f>
        <v>7</v>
      </c>
      <c r="D32" s="227">
        <f ca="1">IF(""=C32,"",LARGE(INDIRECT(VLOOKUP(B32,'Start List'!$J$9:$N$14,5,FALSE)),C32))</f>
        <v>755.13037800000006</v>
      </c>
      <c r="E32" s="79" t="str">
        <f>IF(C32="","",VLOOKUP(B32,Data!$AK$2:$AN$7,4,FALSE)&amp;C32)</f>
        <v>C7</v>
      </c>
      <c r="F32" s="80" t="str">
        <f>IF(COUNTIF(Data!$D$2:$D$97,'By Category'!$E32)=0,"",VLOOKUP('By Category'!$E32,Data!$D$2:$H$97,'By Category'!F$8,FALSE))</f>
        <v/>
      </c>
      <c r="G32" s="80" t="str">
        <f>IF(COUNTIF(Data!$D$2:$D$97,'By Category'!$E32)=0,"",VLOOKUP('By Category'!$E32,Data!$D$2:$H$97,'By Category'!G$8,FALSE))</f>
        <v/>
      </c>
      <c r="H32" s="80">
        <f>IF(COUNTIF(Data!$D$2:$D$97,'By Category'!$E32)=0,"",VLOOKUP('By Category'!$E32,Data!$D$2:$H$97,'By Category'!H$8,FALSE))</f>
        <v>23</v>
      </c>
      <c r="I32" s="80">
        <f>IF(COUNTIF(Data!$D$2:$D$97,'By Category'!$E32)=0,"",VLOOKUP('By Category'!$E32,Data!$D$2:$H$97,'By Category'!I$8,FALSE))</f>
        <v>9</v>
      </c>
      <c r="J32" s="77" t="str">
        <f ca="1">IF(B32&lt;&gt;B31,B32,IF($D32="","",INDEX('Start List'!$D$15:$D$139,MATCH($D32,'Start List'!$B$15:$B$139,0))))</f>
        <v>Kratochvíla Pavel</v>
      </c>
      <c r="K32" s="77" t="str">
        <f ca="1">IF($D32="","",INDEX('Start List'!$E$15:$E$139,MATCH($D32,'Start List'!$B$15:$B$139,0)))</f>
        <v>CZE - Plumlov</v>
      </c>
      <c r="L32" s="77" t="e">
        <f ca="1">IF($D32="","",INDEX('Start List'!$H$15:$H$139,MATCH($D32,'Start List'!$B$15:$B$139,0)))</f>
        <v>#N/A</v>
      </c>
      <c r="M32" s="79" t="str">
        <f ca="1">IF($D32="","",INDEX('Start List'!$F$15:$F$139,MATCH($D32,'Start List'!$B$15:$B$139,0)))</f>
        <v>C</v>
      </c>
      <c r="N32" s="80">
        <f ca="1">IF($D32="","",INDEX('Start List'!K$15:K$139,MATCH($D32,'Start List'!$B$15:$B$139,0)))</f>
        <v>231</v>
      </c>
      <c r="O32" s="80">
        <f ca="1">IF($D32="","",INDEX('Start List'!L$15:L$139,MATCH($D32,'Start List'!$B$15:$B$139,0)))</f>
        <v>5</v>
      </c>
      <c r="P32" s="80">
        <f ca="1">IF($D32="","",INDEX('Start List'!M$15:M$139,MATCH($D32,'Start List'!$B$15:$B$139,0)))</f>
        <v>1</v>
      </c>
      <c r="Q32" s="80" t="str">
        <f ca="1">IF($D32="","",INDEX('Start List'!N$15:N$139,MATCH($D32,'Start List'!$B$15:$B$139,0)))</f>
        <v/>
      </c>
      <c r="R32" s="80">
        <f ca="1">IF($D32="","",INDEX('Start List'!O$15:O$139,MATCH($D32,'Start List'!$B$15:$B$139,0)))</f>
        <v>259</v>
      </c>
      <c r="S32" s="80">
        <f ca="1">IF($D32="","",INDEX('Start List'!P$15:P$139,MATCH($D32,'Start List'!$B$15:$B$139,0)))</f>
        <v>2</v>
      </c>
      <c r="T32" s="80">
        <f ca="1">IF($D32="","",INDEX('Start List'!Q$15:Q$139,MATCH($D32,'Start List'!$B$15:$B$139,0)))</f>
        <v>1</v>
      </c>
      <c r="U32" s="80" t="str">
        <f ca="1">IF($D32="","",INDEX('Start List'!R$15:R$139,MATCH($D32,'Start List'!$B$15:$B$139,0)))</f>
        <v/>
      </c>
      <c r="V32" s="80">
        <f ca="1">IF($D32="","",INDEX('Start List'!S$15:S$139,MATCH($D32,'Start List'!$B$15:$B$139,0)))</f>
        <v>265</v>
      </c>
      <c r="W32" s="80">
        <f ca="1">IF($D32="","",INDEX('Start List'!T$15:T$139,MATCH($D32,'Start List'!$B$15:$B$139,0)))</f>
        <v>6</v>
      </c>
      <c r="X32" s="80">
        <f ca="1">IF($D32="","",INDEX('Start List'!U$15:U$139,MATCH($D32,'Start List'!$B$15:$B$139,0)))</f>
        <v>2</v>
      </c>
      <c r="Y32" s="80" t="str">
        <f ca="1">IF($D32="","",INDEX('Start List'!V$15:V$139,MATCH($D32,'Start List'!$B$15:$B$139,0)))</f>
        <v/>
      </c>
      <c r="Z32" s="80">
        <f ca="1">IF($D32="","",INDEX('Start List'!W$15:W$139,MATCH($D32,'Start List'!$B$15:$B$139,0)))</f>
        <v>755</v>
      </c>
      <c r="AA32" s="80">
        <f ca="1">IF($D32="","",INDEX('Start List'!X$15:X$139,MATCH($D32,'Start List'!$B$15:$B$139,0)))</f>
        <v>13</v>
      </c>
      <c r="AB32" s="80">
        <f ca="1">IF($D32="","",INDEX('Start List'!Y$15:Y$139,MATCH($D32,'Start List'!$B$15:$B$139,0)))</f>
        <v>4</v>
      </c>
    </row>
    <row r="33" spans="1:28" s="83" customFormat="1" ht="12.75" customHeight="1" x14ac:dyDescent="0.2">
      <c r="A33" s="59">
        <f>IF(OR(COUNT('Start List'!A:A)+COUNTIF('Start List'!$I$9:$I$14,"&lt;21")='By Category'!A32,A32=""),"",'By Category'!A32+1)</f>
        <v>25</v>
      </c>
      <c r="B33" s="74" t="str">
        <f>IF(A33="","",VLOOKUP(SMALL('Start List'!$I$9:$I$139,A33),'Start List'!$I$9:$J$14,2,FALSE))</f>
        <v xml:space="preserve">Cadets  </v>
      </c>
      <c r="C33" s="75">
        <f>IF(OR(B33="",COUNTIF($B$9:B33,B33)=1),"",COUNTIF($B$9:B33,B33)-1)</f>
        <v>8</v>
      </c>
      <c r="D33" s="227">
        <f ca="1">IF(""=C33,"",LARGE(INDIRECT(VLOOKUP(B33,'Start List'!$J$9:$N$14,5,FALSE)),C33))</f>
        <v>751.06107899999995</v>
      </c>
      <c r="E33" s="79" t="str">
        <f>IF(C33="","",VLOOKUP(B33,Data!$AK$2:$AN$7,4,FALSE)&amp;C33)</f>
        <v>C8</v>
      </c>
      <c r="F33" s="80" t="str">
        <f>IF(COUNTIF(Data!$D$2:$D$97,'By Category'!$E33)=0,"",VLOOKUP('By Category'!$E33,Data!$D$2:$H$97,'By Category'!F$8,FALSE))</f>
        <v/>
      </c>
      <c r="G33" s="80" t="str">
        <f>IF(COUNTIF(Data!$D$2:$D$97,'By Category'!$E33)=0,"",VLOOKUP('By Category'!$E33,Data!$D$2:$H$97,'By Category'!G$8,FALSE))</f>
        <v/>
      </c>
      <c r="H33" s="80">
        <f>IF(COUNTIF(Data!$D$2:$D$97,'By Category'!$E33)=0,"",VLOOKUP('By Category'!$E33,Data!$D$2:$H$97,'By Category'!H$8,FALSE))</f>
        <v>20</v>
      </c>
      <c r="I33" s="80">
        <f>IF(COUNTIF(Data!$D$2:$D$97,'By Category'!$E33)=0,"",VLOOKUP('By Category'!$E33,Data!$D$2:$H$97,'By Category'!I$8,FALSE))</f>
        <v>8</v>
      </c>
      <c r="J33" s="77" t="str">
        <f ca="1">IF(B33&lt;&gt;B32,B33,IF($D33="","",INDEX('Start List'!$D$15:$D$139,MATCH($D33,'Start List'!$B$15:$B$139,0))))</f>
        <v>Penezić Ema</v>
      </c>
      <c r="K33" s="77" t="str">
        <f ca="1">IF($D33="","",INDEX('Start List'!$E$15:$E$139,MATCH($D33,'Start List'!$B$15:$B$139,0)))</f>
        <v>CRO - Predionica</v>
      </c>
      <c r="L33" s="77" t="e">
        <f ca="1">IF($D33="","",INDEX('Start List'!$H$15:$H$139,MATCH($D33,'Start List'!$B$15:$B$139,0)))</f>
        <v>#N/A</v>
      </c>
      <c r="M33" s="79" t="str">
        <f ca="1">IF($D33="","",INDEX('Start List'!$F$15:$F$139,MATCH($D33,'Start List'!$B$15:$B$139,0)))</f>
        <v>C</v>
      </c>
      <c r="N33" s="80">
        <f ca="1">IF($D33="","",INDEX('Start List'!K$15:K$139,MATCH($D33,'Start List'!$B$15:$B$139,0)))</f>
        <v>232</v>
      </c>
      <c r="O33" s="80">
        <f ca="1">IF($D33="","",INDEX('Start List'!L$15:L$139,MATCH($D33,'Start List'!$B$15:$B$139,0)))</f>
        <v>1</v>
      </c>
      <c r="P33" s="80">
        <f ca="1">IF($D33="","",INDEX('Start List'!M$15:M$139,MATCH($D33,'Start List'!$B$15:$B$139,0)))</f>
        <v>1</v>
      </c>
      <c r="Q33" s="80" t="str">
        <f ca="1">IF($D33="","",INDEX('Start List'!N$15:N$139,MATCH($D33,'Start List'!$B$15:$B$139,0)))</f>
        <v/>
      </c>
      <c r="R33" s="80">
        <f ca="1">IF($D33="","",INDEX('Start List'!O$15:O$139,MATCH($D33,'Start List'!$B$15:$B$139,0)))</f>
        <v>262</v>
      </c>
      <c r="S33" s="80">
        <f ca="1">IF($D33="","",INDEX('Start List'!P$15:P$139,MATCH($D33,'Start List'!$B$15:$B$139,0)))</f>
        <v>2</v>
      </c>
      <c r="T33" s="80">
        <f ca="1">IF($D33="","",INDEX('Start List'!Q$15:Q$139,MATCH($D33,'Start List'!$B$15:$B$139,0)))</f>
        <v>6</v>
      </c>
      <c r="U33" s="80" t="str">
        <f ca="1">IF($D33="","",INDEX('Start List'!R$15:R$139,MATCH($D33,'Start List'!$B$15:$B$139,0)))</f>
        <v/>
      </c>
      <c r="V33" s="80">
        <f ca="1">IF($D33="","",INDEX('Start List'!S$15:S$139,MATCH($D33,'Start List'!$B$15:$B$139,0)))</f>
        <v>257</v>
      </c>
      <c r="W33" s="80">
        <f ca="1">IF($D33="","",INDEX('Start List'!T$15:T$139,MATCH($D33,'Start List'!$B$15:$B$139,0)))</f>
        <v>3</v>
      </c>
      <c r="X33" s="80">
        <f ca="1">IF($D33="","",INDEX('Start List'!U$15:U$139,MATCH($D33,'Start List'!$B$15:$B$139,0)))</f>
        <v>4</v>
      </c>
      <c r="Y33" s="80" t="str">
        <f ca="1">IF($D33="","",INDEX('Start List'!V$15:V$139,MATCH($D33,'Start List'!$B$15:$B$139,0)))</f>
        <v/>
      </c>
      <c r="Z33" s="80">
        <f ca="1">IF($D33="","",INDEX('Start List'!W$15:W$139,MATCH($D33,'Start List'!$B$15:$B$139,0)))</f>
        <v>751</v>
      </c>
      <c r="AA33" s="80">
        <f ca="1">IF($D33="","",INDEX('Start List'!X$15:X$139,MATCH($D33,'Start List'!$B$15:$B$139,0)))</f>
        <v>6</v>
      </c>
      <c r="AB33" s="80">
        <f ca="1">IF($D33="","",INDEX('Start List'!Y$15:Y$139,MATCH($D33,'Start List'!$B$15:$B$139,0)))</f>
        <v>11</v>
      </c>
    </row>
    <row r="34" spans="1:28" s="83" customFormat="1" ht="12.75" customHeight="1" x14ac:dyDescent="0.2">
      <c r="A34" s="59">
        <f>IF(OR(COUNT('Start List'!A:A)+COUNTIF('Start List'!$I$9:$I$14,"&lt;21")='By Category'!A33,A33=""),"",'By Category'!A33+1)</f>
        <v>26</v>
      </c>
      <c r="B34" s="74" t="str">
        <f>IF(A34="","",VLOOKUP(SMALL('Start List'!$I$9:$I$139,A34),'Start List'!$I$9:$J$14,2,FALSE))</f>
        <v xml:space="preserve">Cadets  </v>
      </c>
      <c r="C34" s="75">
        <f>IF(OR(B34="",COUNTIF($B$9:B34,B34)=1),"",COUNTIF($B$9:B34,B34)-1)</f>
        <v>9</v>
      </c>
      <c r="D34" s="227">
        <f ca="1">IF(""=C34,"",LARGE(INDIRECT(VLOOKUP(B34,'Start List'!$J$9:$N$14,5,FALSE)),C34))</f>
        <v>695.11028500000009</v>
      </c>
      <c r="E34" s="79" t="str">
        <f>IF(C34="","",VLOOKUP(B34,Data!$AK$2:$AN$7,4,FALSE)&amp;C34)</f>
        <v>C9</v>
      </c>
      <c r="F34" s="80" t="str">
        <f>IF(COUNTIF(Data!$D$2:$D$97,'By Category'!$E34)=0,"",VLOOKUP('By Category'!$E34,Data!$D$2:$H$97,'By Category'!F$8,FALSE))</f>
        <v/>
      </c>
      <c r="G34" s="80" t="str">
        <f>IF(COUNTIF(Data!$D$2:$D$97,'By Category'!$E34)=0,"",VLOOKUP('By Category'!$E34,Data!$D$2:$H$97,'By Category'!G$8,FALSE))</f>
        <v/>
      </c>
      <c r="H34" s="80">
        <f>IF(COUNTIF(Data!$D$2:$D$97,'By Category'!$E34)=0,"",VLOOKUP('By Category'!$E34,Data!$D$2:$H$97,'By Category'!H$8,FALSE))</f>
        <v>20</v>
      </c>
      <c r="I34" s="80">
        <f>IF(COUNTIF(Data!$D$2:$D$97,'By Category'!$E34)=0,"",VLOOKUP('By Category'!$E34,Data!$D$2:$H$97,'By Category'!I$8,FALSE))</f>
        <v>8</v>
      </c>
      <c r="J34" s="77" t="str">
        <f ca="1">IF(B34&lt;&gt;B33,B34,IF($D34="","",INDEX('Start List'!$D$15:$D$139,MATCH($D34,'Start List'!$B$15:$B$139,0))))</f>
        <v>Mikeštík Martin</v>
      </c>
      <c r="K34" s="77" t="str">
        <f ca="1">IF($D34="","",INDEX('Start List'!$E$15:$E$139,MATCH($D34,'Start List'!$B$15:$B$139,0)))</f>
        <v>CZE - Otrokovice</v>
      </c>
      <c r="L34" s="77" t="e">
        <f ca="1">IF($D34="","",INDEX('Start List'!$H$15:$H$139,MATCH($D34,'Start List'!$B$15:$B$139,0)))</f>
        <v>#N/A</v>
      </c>
      <c r="M34" s="79" t="str">
        <f ca="1">IF($D34="","",INDEX('Start List'!$F$15:$F$139,MATCH($D34,'Start List'!$B$15:$B$139,0)))</f>
        <v>C</v>
      </c>
      <c r="N34" s="80">
        <f ca="1">IF($D34="","",INDEX('Start List'!K$15:K$139,MATCH($D34,'Start List'!$B$15:$B$139,0)))</f>
        <v>228</v>
      </c>
      <c r="O34" s="80">
        <f ca="1">IF($D34="","",INDEX('Start List'!L$15:L$139,MATCH($D34,'Start List'!$B$15:$B$139,0)))</f>
        <v>2</v>
      </c>
      <c r="P34" s="80">
        <f ca="1">IF($D34="","",INDEX('Start List'!M$15:M$139,MATCH($D34,'Start List'!$B$15:$B$139,0)))</f>
        <v>0</v>
      </c>
      <c r="Q34" s="80" t="str">
        <f ca="1">IF($D34="","",INDEX('Start List'!N$15:N$139,MATCH($D34,'Start List'!$B$15:$B$139,0)))</f>
        <v/>
      </c>
      <c r="R34" s="80">
        <f ca="1">IF($D34="","",INDEX('Start List'!O$15:O$139,MATCH($D34,'Start List'!$B$15:$B$139,0)))</f>
        <v>248</v>
      </c>
      <c r="S34" s="80">
        <f ca="1">IF($D34="","",INDEX('Start List'!P$15:P$139,MATCH($D34,'Start List'!$B$15:$B$139,0)))</f>
        <v>4</v>
      </c>
      <c r="T34" s="80">
        <f ca="1">IF($D34="","",INDEX('Start List'!Q$15:Q$139,MATCH($D34,'Start List'!$B$15:$B$139,0)))</f>
        <v>1</v>
      </c>
      <c r="U34" s="80" t="str">
        <f ca="1">IF($D34="","",INDEX('Start List'!R$15:R$139,MATCH($D34,'Start List'!$B$15:$B$139,0)))</f>
        <v/>
      </c>
      <c r="V34" s="80">
        <f ca="1">IF($D34="","",INDEX('Start List'!S$15:S$139,MATCH($D34,'Start List'!$B$15:$B$139,0)))</f>
        <v>219</v>
      </c>
      <c r="W34" s="80">
        <f ca="1">IF($D34="","",INDEX('Start List'!T$15:T$139,MATCH($D34,'Start List'!$B$15:$B$139,0)))</f>
        <v>5</v>
      </c>
      <c r="X34" s="80">
        <f ca="1">IF($D34="","",INDEX('Start List'!U$15:U$139,MATCH($D34,'Start List'!$B$15:$B$139,0)))</f>
        <v>2</v>
      </c>
      <c r="Y34" s="80" t="str">
        <f ca="1">IF($D34="","",INDEX('Start List'!V$15:V$139,MATCH($D34,'Start List'!$B$15:$B$139,0)))</f>
        <v/>
      </c>
      <c r="Z34" s="80">
        <f ca="1">IF($D34="","",INDEX('Start List'!W$15:W$139,MATCH($D34,'Start List'!$B$15:$B$139,0)))</f>
        <v>695</v>
      </c>
      <c r="AA34" s="80">
        <f ca="1">IF($D34="","",INDEX('Start List'!X$15:X$139,MATCH($D34,'Start List'!$B$15:$B$139,0)))</f>
        <v>11</v>
      </c>
      <c r="AB34" s="80">
        <f ca="1">IF($D34="","",INDEX('Start List'!Y$15:Y$139,MATCH($D34,'Start List'!$B$15:$B$139,0)))</f>
        <v>3</v>
      </c>
    </row>
    <row r="35" spans="1:28" s="83" customFormat="1" ht="12.75" customHeight="1" x14ac:dyDescent="0.2">
      <c r="A35" s="59">
        <f>IF(OR(COUNT('Start List'!A:A)+COUNTIF('Start List'!$I$9:$I$14,"&lt;21")='By Category'!A34,A34=""),"",'By Category'!A34+1)</f>
        <v>27</v>
      </c>
      <c r="B35" s="74" t="str">
        <f>IF(A35="","",VLOOKUP(SMALL('Start List'!$I$9:$I$139,A35),'Start List'!$I$9:$J$14,2,FALSE))</f>
        <v xml:space="preserve">Cadets  </v>
      </c>
      <c r="C35" s="75">
        <f>IF(OR(B35="",COUNTIF($B$9:B35,B35)=1),"",COUNTIF($B$9:B35,B35)-1)</f>
        <v>10</v>
      </c>
      <c r="D35" s="227">
        <f ca="1">IF(""=C35,"",LARGE(INDIRECT(VLOOKUP(B35,'Start List'!$J$9:$N$14,5,FALSE)),C35))</f>
        <v>609.02038100000004</v>
      </c>
      <c r="E35" s="79" t="str">
        <f>IF(C35="","",VLOOKUP(B35,Data!$AK$2:$AN$7,4,FALSE)&amp;C35)</f>
        <v>C10</v>
      </c>
      <c r="F35" s="80" t="str">
        <f>IF(COUNTIF(Data!$D$2:$D$97,'By Category'!$E35)=0,"",VLOOKUP('By Category'!$E35,Data!$D$2:$H$97,'By Category'!F$8,FALSE))</f>
        <v/>
      </c>
      <c r="G35" s="80" t="str">
        <f>IF(COUNTIF(Data!$D$2:$D$97,'By Category'!$E35)=0,"",VLOOKUP('By Category'!$E35,Data!$D$2:$H$97,'By Category'!G$8,FALSE))</f>
        <v/>
      </c>
      <c r="H35" s="80">
        <f>IF(COUNTIF(Data!$D$2:$D$97,'By Category'!$E35)=0,"",VLOOKUP('By Category'!$E35,Data!$D$2:$H$97,'By Category'!H$8,FALSE))</f>
        <v>23</v>
      </c>
      <c r="I35" s="80">
        <f>IF(COUNTIF(Data!$D$2:$D$97,'By Category'!$E35)=0,"",VLOOKUP('By Category'!$E35,Data!$D$2:$H$97,'By Category'!I$8,FALSE))</f>
        <v>9</v>
      </c>
      <c r="J35" s="77" t="str">
        <f ca="1">IF(B35&lt;&gt;B34,B35,IF($D35="","",INDEX('Start List'!$D$15:$D$139,MATCH($D35,'Start List'!$B$15:$B$139,0))))</f>
        <v>Štěpán Špaček</v>
      </c>
      <c r="K35" s="77" t="str">
        <f ca="1">IF($D35="","",INDEX('Start List'!$E$15:$E$139,MATCH($D35,'Start List'!$B$15:$B$139,0)))</f>
        <v>CZE - Otrokovice</v>
      </c>
      <c r="L35" s="77" t="e">
        <f ca="1">IF($D35="","",INDEX('Start List'!$H$15:$H$139,MATCH($D35,'Start List'!$B$15:$B$139,0)))</f>
        <v>#N/A</v>
      </c>
      <c r="M35" s="79" t="str">
        <f ca="1">IF($D35="","",INDEX('Start List'!$F$15:$F$139,MATCH($D35,'Start List'!$B$15:$B$139,0)))</f>
        <v>C</v>
      </c>
      <c r="N35" s="80">
        <f ca="1">IF($D35="","",INDEX('Start List'!K$15:K$139,MATCH($D35,'Start List'!$B$15:$B$139,0)))</f>
        <v>193</v>
      </c>
      <c r="O35" s="80">
        <f ca="1">IF($D35="","",INDEX('Start List'!L$15:L$139,MATCH($D35,'Start List'!$B$15:$B$139,0)))</f>
        <v>0</v>
      </c>
      <c r="P35" s="80">
        <f ca="1">IF($D35="","",INDEX('Start List'!M$15:M$139,MATCH($D35,'Start List'!$B$15:$B$139,0)))</f>
        <v>1</v>
      </c>
      <c r="Q35" s="80" t="str">
        <f ca="1">IF($D35="","",INDEX('Start List'!N$15:N$139,MATCH($D35,'Start List'!$B$15:$B$139,0)))</f>
        <v/>
      </c>
      <c r="R35" s="80">
        <f ca="1">IF($D35="","",INDEX('Start List'!O$15:O$139,MATCH($D35,'Start List'!$B$15:$B$139,0)))</f>
        <v>237</v>
      </c>
      <c r="S35" s="80">
        <f ca="1">IF($D35="","",INDEX('Start List'!P$15:P$139,MATCH($D35,'Start List'!$B$15:$B$139,0)))</f>
        <v>2</v>
      </c>
      <c r="T35" s="80">
        <f ca="1">IF($D35="","",INDEX('Start List'!Q$15:Q$139,MATCH($D35,'Start List'!$B$15:$B$139,0)))</f>
        <v>1</v>
      </c>
      <c r="U35" s="80" t="str">
        <f ca="1">IF($D35="","",INDEX('Start List'!R$15:R$139,MATCH($D35,'Start List'!$B$15:$B$139,0)))</f>
        <v/>
      </c>
      <c r="V35" s="80">
        <f ca="1">IF($D35="","",INDEX('Start List'!S$15:S$139,MATCH($D35,'Start List'!$B$15:$B$139,0)))</f>
        <v>179</v>
      </c>
      <c r="W35" s="80">
        <f ca="1">IF($D35="","",INDEX('Start List'!T$15:T$139,MATCH($D35,'Start List'!$B$15:$B$139,0)))</f>
        <v>0</v>
      </c>
      <c r="X35" s="80">
        <f ca="1">IF($D35="","",INDEX('Start List'!U$15:U$139,MATCH($D35,'Start List'!$B$15:$B$139,0)))</f>
        <v>2</v>
      </c>
      <c r="Y35" s="80" t="str">
        <f ca="1">IF($D35="","",INDEX('Start List'!V$15:V$139,MATCH($D35,'Start List'!$B$15:$B$139,0)))</f>
        <v/>
      </c>
      <c r="Z35" s="80">
        <f ca="1">IF($D35="","",INDEX('Start List'!W$15:W$139,MATCH($D35,'Start List'!$B$15:$B$139,0)))</f>
        <v>609</v>
      </c>
      <c r="AA35" s="80">
        <f ca="1">IF($D35="","",INDEX('Start List'!X$15:X$139,MATCH($D35,'Start List'!$B$15:$B$139,0)))</f>
        <v>2</v>
      </c>
      <c r="AB35" s="80">
        <f ca="1">IF($D35="","",INDEX('Start List'!Y$15:Y$139,MATCH($D35,'Start List'!$B$15:$B$139,0)))</f>
        <v>4</v>
      </c>
    </row>
    <row r="36" spans="1:28" s="83" customFormat="1" ht="12.75" customHeight="1" collapsed="1" x14ac:dyDescent="0.2">
      <c r="A36" s="59">
        <f>IF(OR(COUNT('Start List'!A:A)+COUNTIF('Start List'!$I$9:$I$14,"&lt;21")='By Category'!A35,A35=""),"",'By Category'!A35+1)</f>
        <v>28</v>
      </c>
      <c r="B36" s="74" t="str">
        <f>IF(A36="","",VLOOKUP(SMALL('Start List'!$I$9:$I$139,A36),'Start List'!$I$9:$J$14,2,FALSE))</f>
        <v>Senior Men</v>
      </c>
      <c r="C36" s="75" t="str">
        <f>IF(OR(B36="",COUNTIF($B$9:B36,B36)=1),"",COUNTIF($B$9:B36,B36)-1)</f>
        <v/>
      </c>
      <c r="D36" s="227" t="str">
        <f ca="1">IF(""=C36,"",LARGE(INDIRECT(VLOOKUP(B36,'Start List'!$J$9:$N$14,5,FALSE)),C36))</f>
        <v/>
      </c>
      <c r="E36" s="79" t="str">
        <f>IF(C36="","",VLOOKUP(B36,Data!$AK$2:$AN$7,4,FALSE)&amp;C36)</f>
        <v/>
      </c>
      <c r="F36" s="80" t="str">
        <f>IF(COUNTIF(Data!$D$2:$D$97,'By Category'!$E36)=0,"",VLOOKUP('By Category'!$E36,Data!$D$2:$H$97,'By Category'!F$8,FALSE))</f>
        <v/>
      </c>
      <c r="G36" s="80" t="str">
        <f>IF(COUNTIF(Data!$D$2:$D$97,'By Category'!$E36)=0,"",VLOOKUP('By Category'!$E36,Data!$D$2:$H$97,'By Category'!G$8,FALSE))</f>
        <v/>
      </c>
      <c r="H36" s="80" t="str">
        <f>IF(COUNTIF(Data!$D$2:$D$97,'By Category'!$E36)=0,"",VLOOKUP('By Category'!$E36,Data!$D$2:$H$97,'By Category'!H$8,FALSE))</f>
        <v/>
      </c>
      <c r="I36" s="80" t="str">
        <f>IF(COUNTIF(Data!$D$2:$D$97,'By Category'!$E36)=0,"",VLOOKUP('By Category'!$E36,Data!$D$2:$H$97,'By Category'!I$8,FALSE))</f>
        <v/>
      </c>
      <c r="J36" s="77" t="str">
        <f>IF(B36&lt;&gt;B35,B36,IF($D36="","",INDEX('Start List'!$D$15:$D$139,MATCH($D36,'Start List'!$B$15:$B$139,0))))</f>
        <v>Senior Men</v>
      </c>
      <c r="K36" s="77" t="str">
        <f ca="1">IF($D36="","",INDEX('Start List'!$E$15:$E$139,MATCH($D36,'Start List'!$B$15:$B$139,0)))</f>
        <v/>
      </c>
      <c r="L36" s="77" t="str">
        <f ca="1">IF($D36="","",INDEX('Start List'!$H$15:$H$139,MATCH($D36,'Start List'!$B$15:$B$139,0)))</f>
        <v/>
      </c>
      <c r="M36" s="79" t="str">
        <f ca="1">IF($D36="","",INDEX('Start List'!$F$15:$F$139,MATCH($D36,'Start List'!$B$15:$B$139,0)))</f>
        <v/>
      </c>
      <c r="N36" s="80" t="str">
        <f ca="1">IF($D36="","",INDEX('Start List'!K$15:K$139,MATCH($D36,'Start List'!$B$15:$B$139,0)))</f>
        <v/>
      </c>
      <c r="O36" s="80" t="str">
        <f ca="1">IF($D36="","",INDEX('Start List'!L$15:L$139,MATCH($D36,'Start List'!$B$15:$B$139,0)))</f>
        <v/>
      </c>
      <c r="P36" s="80" t="str">
        <f ca="1">IF($D36="","",INDEX('Start List'!M$15:M$139,MATCH($D36,'Start List'!$B$15:$B$139,0)))</f>
        <v/>
      </c>
      <c r="Q36" s="80" t="str">
        <f ca="1">IF($D36="","",INDEX('Start List'!N$15:N$139,MATCH($D36,'Start List'!$B$15:$B$139,0)))</f>
        <v/>
      </c>
      <c r="R36" s="80" t="str">
        <f ca="1">IF($D36="","",INDEX('Start List'!O$15:O$139,MATCH($D36,'Start List'!$B$15:$B$139,0)))</f>
        <v/>
      </c>
      <c r="S36" s="80" t="str">
        <f ca="1">IF($D36="","",INDEX('Start List'!P$15:P$139,MATCH($D36,'Start List'!$B$15:$B$139,0)))</f>
        <v/>
      </c>
      <c r="T36" s="80" t="str">
        <f ca="1">IF($D36="","",INDEX('Start List'!Q$15:Q$139,MATCH($D36,'Start List'!$B$15:$B$139,0)))</f>
        <v/>
      </c>
      <c r="U36" s="80" t="str">
        <f ca="1">IF($D36="","",INDEX('Start List'!R$15:R$139,MATCH($D36,'Start List'!$B$15:$B$139,0)))</f>
        <v/>
      </c>
      <c r="V36" s="80" t="str">
        <f ca="1">IF($D36="","",INDEX('Start List'!S$15:S$139,MATCH($D36,'Start List'!$B$15:$B$139,0)))</f>
        <v/>
      </c>
      <c r="W36" s="80" t="str">
        <f ca="1">IF($D36="","",INDEX('Start List'!T$15:T$139,MATCH($D36,'Start List'!$B$15:$B$139,0)))</f>
        <v/>
      </c>
      <c r="X36" s="80" t="str">
        <f ca="1">IF($D36="","",INDEX('Start List'!U$15:U$139,MATCH($D36,'Start List'!$B$15:$B$139,0)))</f>
        <v/>
      </c>
      <c r="Y36" s="80" t="str">
        <f ca="1">IF($D36="","",INDEX('Start List'!V$15:V$139,MATCH($D36,'Start List'!$B$15:$B$139,0)))</f>
        <v/>
      </c>
      <c r="Z36" s="80" t="str">
        <f ca="1">IF($D36="","",INDEX('Start List'!W$15:W$139,MATCH($D36,'Start List'!$B$15:$B$139,0)))</f>
        <v/>
      </c>
      <c r="AA36" s="80" t="str">
        <f ca="1">IF($D36="","",INDEX('Start List'!X$15:X$139,MATCH($D36,'Start List'!$B$15:$B$139,0)))</f>
        <v/>
      </c>
      <c r="AB36" s="80" t="str">
        <f ca="1">IF($D36="","",INDEX('Start List'!Y$15:Y$139,MATCH($D36,'Start List'!$B$15:$B$139,0)))</f>
        <v/>
      </c>
    </row>
    <row r="37" spans="1:28" ht="12.75" customHeight="1" x14ac:dyDescent="0.2">
      <c r="A37" s="59">
        <f>IF(OR(COUNT('Start List'!A:A)+COUNTIF('Start List'!$I$9:$I$14,"&lt;21")='By Category'!A36,A36=""),"",'By Category'!A36+1)</f>
        <v>29</v>
      </c>
      <c r="B37" s="74" t="str">
        <f>IF(A37="","",VLOOKUP(SMALL('Start List'!$I$9:$I$139,A37),'Start List'!$I$9:$J$14,2,FALSE))</f>
        <v>Senior Men</v>
      </c>
      <c r="C37" s="75">
        <f>IF(OR(B37="",COUNTIF($B$9:B37,B37)=1),"",COUNTIF($B$9:B37,B37)-1)</f>
        <v>1</v>
      </c>
      <c r="D37" s="227">
        <f ca="1">IF(""=C37,"",LARGE(INDIRECT(VLOOKUP(B37,'Start List'!$J$9:$N$14,5,FALSE)),C37))</f>
        <v>802.24077599999998</v>
      </c>
      <c r="E37" s="79" t="str">
        <f>IF(C37="","",VLOOKUP(B37,Data!$AK$2:$AN$7,4,FALSE)&amp;C37)</f>
        <v>SM1</v>
      </c>
      <c r="F37" s="80" t="str">
        <f>IF(COUNTIF(Data!$D$2:$D$97,'By Category'!$E37)=0,"",VLOOKUP('By Category'!$E37,Data!$D$2:$H$97,'By Category'!F$8,FALSE))</f>
        <v/>
      </c>
      <c r="G37" s="80" t="str">
        <f>IF(COUNTIF(Data!$D$2:$D$97,'By Category'!$E37)=0,"",VLOOKUP('By Category'!$E37,Data!$D$2:$H$97,'By Category'!G$8,FALSE))</f>
        <v/>
      </c>
      <c r="H37" s="80">
        <f>IF(COUNTIF(Data!$D$2:$D$97,'By Category'!$E37)=0,"",VLOOKUP('By Category'!$E37,Data!$D$2:$H$97,'By Category'!H$8,FALSE))</f>
        <v>26</v>
      </c>
      <c r="I37" s="80">
        <f>IF(COUNTIF(Data!$D$2:$D$97,'By Category'!$E37)=0,"",VLOOKUP('By Category'!$E37,Data!$D$2:$H$97,'By Category'!I$8,FALSE))</f>
        <v>13</v>
      </c>
      <c r="J37" s="77" t="str">
        <f ca="1">IF(B37&lt;&gt;B36,B37,IF($D37="","",INDEX('Start List'!$D$15:$D$139,MATCH($D37,'Start List'!$B$15:$B$139,0))))</f>
        <v>Nedělník Josef</v>
      </c>
      <c r="K37" s="77" t="str">
        <f ca="1">IF($D37="","",INDEX('Start List'!$E$15:$E$139,MATCH($D37,'Start List'!$B$15:$B$139,0)))</f>
        <v>CZE - Savana</v>
      </c>
      <c r="L37" s="77" t="e">
        <f ca="1">IF($D37="","",INDEX('Start List'!$H$15:$H$139,MATCH($D37,'Start List'!$B$15:$B$139,0)))</f>
        <v>#N/A</v>
      </c>
      <c r="M37" s="79" t="str">
        <f ca="1">IF($D37="","",INDEX('Start List'!$F$15:$F$139,MATCH($D37,'Start List'!$B$15:$B$139,0)))</f>
        <v>SM</v>
      </c>
      <c r="N37" s="80">
        <f ca="1">IF($D37="","",INDEX('Start List'!K$15:K$139,MATCH($D37,'Start List'!$B$15:$B$139,0)))</f>
        <v>253</v>
      </c>
      <c r="O37" s="80">
        <f ca="1">IF($D37="","",INDEX('Start List'!L$15:L$139,MATCH($D37,'Start List'!$B$15:$B$139,0)))</f>
        <v>4</v>
      </c>
      <c r="P37" s="80">
        <f ca="1">IF($D37="","",INDEX('Start List'!M$15:M$139,MATCH($D37,'Start List'!$B$15:$B$139,0)))</f>
        <v>3</v>
      </c>
      <c r="Q37" s="80" t="str">
        <f ca="1">IF($D37="","",INDEX('Start List'!N$15:N$139,MATCH($D37,'Start List'!$B$15:$B$139,0)))</f>
        <v/>
      </c>
      <c r="R37" s="80">
        <f ca="1">IF($D37="","",INDEX('Start List'!O$15:O$139,MATCH($D37,'Start List'!$B$15:$B$139,0)))</f>
        <v>263</v>
      </c>
      <c r="S37" s="80">
        <f ca="1">IF($D37="","",INDEX('Start List'!P$15:P$139,MATCH($D37,'Start List'!$B$15:$B$139,0)))</f>
        <v>7</v>
      </c>
      <c r="T37" s="80">
        <f ca="1">IF($D37="","",INDEX('Start List'!Q$15:Q$139,MATCH($D37,'Start List'!$B$15:$B$139,0)))</f>
        <v>0</v>
      </c>
      <c r="U37" s="80" t="str">
        <f ca="1">IF($D37="","",INDEX('Start List'!R$15:R$139,MATCH($D37,'Start List'!$B$15:$B$139,0)))</f>
        <v/>
      </c>
      <c r="V37" s="80">
        <f ca="1">IF($D37="","",INDEX('Start List'!S$15:S$139,MATCH($D37,'Start List'!$B$15:$B$139,0)))</f>
        <v>286</v>
      </c>
      <c r="W37" s="80">
        <f ca="1">IF($D37="","",INDEX('Start List'!T$15:T$139,MATCH($D37,'Start List'!$B$15:$B$139,0)))</f>
        <v>13</v>
      </c>
      <c r="X37" s="80">
        <f ca="1">IF($D37="","",INDEX('Start List'!U$15:U$139,MATCH($D37,'Start List'!$B$15:$B$139,0)))</f>
        <v>5</v>
      </c>
      <c r="Y37" s="80" t="str">
        <f ca="1">IF($D37="","",INDEX('Start List'!V$15:V$139,MATCH($D37,'Start List'!$B$15:$B$139,0)))</f>
        <v/>
      </c>
      <c r="Z37" s="80">
        <f ca="1">IF($D37="","",INDEX('Start List'!W$15:W$139,MATCH($D37,'Start List'!$B$15:$B$139,0)))</f>
        <v>802</v>
      </c>
      <c r="AA37" s="80">
        <f ca="1">IF($D37="","",INDEX('Start List'!X$15:X$139,MATCH($D37,'Start List'!$B$15:$B$139,0)))</f>
        <v>24</v>
      </c>
      <c r="AB37" s="80">
        <f ca="1">IF($D37="","",INDEX('Start List'!Y$15:Y$139,MATCH($D37,'Start List'!$B$15:$B$139,0)))</f>
        <v>8</v>
      </c>
    </row>
    <row r="38" spans="1:28" ht="12.75" customHeight="1" x14ac:dyDescent="0.2">
      <c r="A38" s="59">
        <f>IF(OR(COUNT('Start List'!A:A)+COUNTIF('Start List'!$I$9:$I$14,"&lt;21")='By Category'!A37,A37=""),"",'By Category'!A37+1)</f>
        <v>30</v>
      </c>
      <c r="B38" s="74" t="str">
        <f>IF(A38="","",VLOOKUP(SMALL('Start List'!$I$9:$I$139,A38),'Start List'!$I$9:$J$14,2,FALSE))</f>
        <v>Senior Men</v>
      </c>
      <c r="C38" s="75">
        <f>IF(OR(B38="",COUNTIF($B$9:B38,B38)=1),"",COUNTIF($B$9:B38,B38)-1)</f>
        <v>2</v>
      </c>
      <c r="D38" s="227">
        <f ca="1">IF(""=C38,"",LARGE(INDIRECT(VLOOKUP(B38,'Start List'!$J$9:$N$14,5,FALSE)),C38))</f>
        <v>774.13097499999992</v>
      </c>
      <c r="E38" s="79" t="str">
        <f>IF(C38="","",VLOOKUP(B38,Data!$AK$2:$AN$7,4,FALSE)&amp;C38)</f>
        <v>SM2</v>
      </c>
      <c r="F38" s="80" t="str">
        <f>IF(COUNTIF(Data!$D$2:$D$97,'By Category'!$E38)=0,"",VLOOKUP('By Category'!$E38,Data!$D$2:$H$97,'By Category'!F$8,FALSE))</f>
        <v/>
      </c>
      <c r="G38" s="80" t="str">
        <f>IF(COUNTIF(Data!$D$2:$D$97,'By Category'!$E38)=0,"",VLOOKUP('By Category'!$E38,Data!$D$2:$H$97,'By Category'!G$8,FALSE))</f>
        <v/>
      </c>
      <c r="H38" s="80">
        <f>IF(COUNTIF(Data!$D$2:$D$97,'By Category'!$E38)=0,"",VLOOKUP('By Category'!$E38,Data!$D$2:$H$97,'By Category'!H$8,FALSE))</f>
        <v>29</v>
      </c>
      <c r="I38" s="80">
        <f>IF(COUNTIF(Data!$D$2:$D$97,'By Category'!$E38)=0,"",VLOOKUP('By Category'!$E38,Data!$D$2:$H$97,'By Category'!I$8,FALSE))</f>
        <v>14</v>
      </c>
      <c r="J38" s="77" t="str">
        <f ca="1">IF(B38&lt;&gt;B37,B38,IF($D38="","",INDEX('Start List'!$D$15:$D$139,MATCH($D38,'Start List'!$B$15:$B$139,0))))</f>
        <v>Mátrai István</v>
      </c>
      <c r="K38" s="77" t="str">
        <f ca="1">IF($D38="","",INDEX('Start List'!$E$15:$E$139,MATCH($D38,'Start List'!$B$15:$B$139,0)))</f>
        <v>HUN - Hungarian Shooting Federation</v>
      </c>
      <c r="L38" s="77" t="e">
        <f ca="1">IF($D38="","",INDEX('Start List'!$H$15:$H$139,MATCH($D38,'Start List'!$B$15:$B$139,0)))</f>
        <v>#N/A</v>
      </c>
      <c r="M38" s="79" t="str">
        <f ca="1">IF($D38="","",INDEX('Start List'!$F$15:$F$139,MATCH($D38,'Start List'!$B$15:$B$139,0)))</f>
        <v>SM</v>
      </c>
      <c r="N38" s="80">
        <f ca="1">IF($D38="","",INDEX('Start List'!K$15:K$139,MATCH($D38,'Start List'!$B$15:$B$139,0)))</f>
        <v>243</v>
      </c>
      <c r="O38" s="80">
        <f ca="1">IF($D38="","",INDEX('Start List'!L$15:L$139,MATCH($D38,'Start List'!$B$15:$B$139,0)))</f>
        <v>3</v>
      </c>
      <c r="P38" s="80">
        <f ca="1">IF($D38="","",INDEX('Start List'!M$15:M$139,MATCH($D38,'Start List'!$B$15:$B$139,0)))</f>
        <v>2</v>
      </c>
      <c r="Q38" s="80" t="str">
        <f ca="1">IF($D38="","",INDEX('Start List'!N$15:N$139,MATCH($D38,'Start List'!$B$15:$B$139,0)))</f>
        <v/>
      </c>
      <c r="R38" s="80">
        <f ca="1">IF($D38="","",INDEX('Start List'!O$15:O$139,MATCH($D38,'Start List'!$B$15:$B$139,0)))</f>
        <v>269</v>
      </c>
      <c r="S38" s="80">
        <f ca="1">IF($D38="","",INDEX('Start List'!P$15:P$139,MATCH($D38,'Start List'!$B$15:$B$139,0)))</f>
        <v>7</v>
      </c>
      <c r="T38" s="80">
        <f ca="1">IF($D38="","",INDEX('Start List'!Q$15:Q$139,MATCH($D38,'Start List'!$B$15:$B$139,0)))</f>
        <v>4</v>
      </c>
      <c r="U38" s="80" t="str">
        <f ca="1">IF($D38="","",INDEX('Start List'!R$15:R$139,MATCH($D38,'Start List'!$B$15:$B$139,0)))</f>
        <v/>
      </c>
      <c r="V38" s="80">
        <f ca="1">IF($D38="","",INDEX('Start List'!S$15:S$139,MATCH($D38,'Start List'!$B$15:$B$139,0)))</f>
        <v>262</v>
      </c>
      <c r="W38" s="80">
        <f ca="1">IF($D38="","",INDEX('Start List'!T$15:T$139,MATCH($D38,'Start List'!$B$15:$B$139,0)))</f>
        <v>3</v>
      </c>
      <c r="X38" s="80">
        <f ca="1">IF($D38="","",INDEX('Start List'!U$15:U$139,MATCH($D38,'Start List'!$B$15:$B$139,0)))</f>
        <v>4</v>
      </c>
      <c r="Y38" s="80" t="str">
        <f ca="1">IF($D38="","",INDEX('Start List'!V$15:V$139,MATCH($D38,'Start List'!$B$15:$B$139,0)))</f>
        <v/>
      </c>
      <c r="Z38" s="80">
        <f ca="1">IF($D38="","",INDEX('Start List'!W$15:W$139,MATCH($D38,'Start List'!$B$15:$B$139,0)))</f>
        <v>774</v>
      </c>
      <c r="AA38" s="80">
        <f ca="1">IF($D38="","",INDEX('Start List'!X$15:X$139,MATCH($D38,'Start List'!$B$15:$B$139,0)))</f>
        <v>13</v>
      </c>
      <c r="AB38" s="80">
        <f ca="1">IF($D38="","",INDEX('Start List'!Y$15:Y$139,MATCH($D38,'Start List'!$B$15:$B$139,0)))</f>
        <v>10</v>
      </c>
    </row>
    <row r="39" spans="1:28" ht="12.75" customHeight="1" x14ac:dyDescent="0.2">
      <c r="A39" s="59">
        <f>IF(OR(COUNT('Start List'!A:A)+COUNTIF('Start List'!$I$9:$I$14,"&lt;21")='By Category'!A38,A38=""),"",'By Category'!A38+1)</f>
        <v>31</v>
      </c>
      <c r="B39" s="74" t="str">
        <f>IF(A39="","",VLOOKUP(SMALL('Start List'!$I$9:$I$139,A39),'Start List'!$I$9:$J$14,2,FALSE))</f>
        <v>Senior Men</v>
      </c>
      <c r="C39" s="75">
        <f>IF(OR(B39="",COUNTIF($B$9:B39,B39)=1),"",COUNTIF($B$9:B39,B39)-1)</f>
        <v>3</v>
      </c>
      <c r="D39" s="227">
        <f ca="1">IF(""=C39,"",LARGE(INDIRECT(VLOOKUP(B39,'Start List'!$J$9:$N$14,5,FALSE)),C39))</f>
        <v>737.11057299999993</v>
      </c>
      <c r="E39" s="79" t="str">
        <f>IF(C39="","",VLOOKUP(B39,Data!$AK$2:$AN$7,4,FALSE)&amp;C39)</f>
        <v>SM3</v>
      </c>
      <c r="F39" s="80" t="str">
        <f>IF(COUNTIF(Data!$D$2:$D$97,'By Category'!$E39)=0,"",VLOOKUP('By Category'!$E39,Data!$D$2:$H$97,'By Category'!F$8,FALSE))</f>
        <v/>
      </c>
      <c r="G39" s="80" t="str">
        <f>IF(COUNTIF(Data!$D$2:$D$97,'By Category'!$E39)=0,"",VLOOKUP('By Category'!$E39,Data!$D$2:$H$97,'By Category'!G$8,FALSE))</f>
        <v/>
      </c>
      <c r="H39" s="80">
        <f>IF(COUNTIF(Data!$D$2:$D$97,'By Category'!$E39)=0,"",VLOOKUP('By Category'!$E39,Data!$D$2:$H$97,'By Category'!H$8,FALSE))</f>
        <v>30</v>
      </c>
      <c r="I39" s="80">
        <f>IF(COUNTIF(Data!$D$2:$D$97,'By Category'!$E39)=0,"",VLOOKUP('By Category'!$E39,Data!$D$2:$H$97,'By Category'!I$8,FALSE))</f>
        <v>14</v>
      </c>
      <c r="J39" s="77" t="str">
        <f ca="1">IF(B39&lt;&gt;B38,B39,IF($D39="","",INDEX('Start List'!$D$15:$D$139,MATCH($D39,'Start List'!$B$15:$B$139,0))))</f>
        <v>Losert Václav</v>
      </c>
      <c r="K39" s="77" t="str">
        <f ca="1">IF($D39="","",INDEX('Start List'!$E$15:$E$139,MATCH($D39,'Start List'!$B$15:$B$139,0)))</f>
        <v>CZE - TJ Opava</v>
      </c>
      <c r="L39" s="77" t="e">
        <f ca="1">IF($D39="","",INDEX('Start List'!$H$15:$H$139,MATCH($D39,'Start List'!$B$15:$B$139,0)))</f>
        <v>#N/A</v>
      </c>
      <c r="M39" s="79" t="str">
        <f ca="1">IF($D39="","",INDEX('Start List'!$F$15:$F$139,MATCH($D39,'Start List'!$B$15:$B$139,0)))</f>
        <v>SM</v>
      </c>
      <c r="N39" s="80">
        <f ca="1">IF($D39="","",INDEX('Start List'!K$15:K$139,MATCH($D39,'Start List'!$B$15:$B$139,0)))</f>
        <v>213</v>
      </c>
      <c r="O39" s="80">
        <f ca="1">IF($D39="","",INDEX('Start List'!L$15:L$139,MATCH($D39,'Start List'!$B$15:$B$139,0)))</f>
        <v>0</v>
      </c>
      <c r="P39" s="80">
        <f ca="1">IF($D39="","",INDEX('Start List'!M$15:M$139,MATCH($D39,'Start List'!$B$15:$B$139,0)))</f>
        <v>0</v>
      </c>
      <c r="Q39" s="80" t="str">
        <f ca="1">IF($D39="","",INDEX('Start List'!N$15:N$139,MATCH($D39,'Start List'!$B$15:$B$139,0)))</f>
        <v/>
      </c>
      <c r="R39" s="80">
        <f ca="1">IF($D39="","",INDEX('Start List'!O$15:O$139,MATCH($D39,'Start List'!$B$15:$B$139,0)))</f>
        <v>263</v>
      </c>
      <c r="S39" s="80">
        <f ca="1">IF($D39="","",INDEX('Start List'!P$15:P$139,MATCH($D39,'Start List'!$B$15:$B$139,0)))</f>
        <v>6</v>
      </c>
      <c r="T39" s="80">
        <f ca="1">IF($D39="","",INDEX('Start List'!Q$15:Q$139,MATCH($D39,'Start List'!$B$15:$B$139,0)))</f>
        <v>2</v>
      </c>
      <c r="U39" s="80" t="str">
        <f ca="1">IF($D39="","",INDEX('Start List'!R$15:R$139,MATCH($D39,'Start List'!$B$15:$B$139,0)))</f>
        <v/>
      </c>
      <c r="V39" s="80">
        <f ca="1">IF($D39="","",INDEX('Start List'!S$15:S$139,MATCH($D39,'Start List'!$B$15:$B$139,0)))</f>
        <v>261</v>
      </c>
      <c r="W39" s="80">
        <f ca="1">IF($D39="","",INDEX('Start List'!T$15:T$139,MATCH($D39,'Start List'!$B$15:$B$139,0)))</f>
        <v>5</v>
      </c>
      <c r="X39" s="80">
        <f ca="1">IF($D39="","",INDEX('Start List'!U$15:U$139,MATCH($D39,'Start List'!$B$15:$B$139,0)))</f>
        <v>4</v>
      </c>
      <c r="Y39" s="80" t="str">
        <f ca="1">IF($D39="","",INDEX('Start List'!V$15:V$139,MATCH($D39,'Start List'!$B$15:$B$139,0)))</f>
        <v/>
      </c>
      <c r="Z39" s="80">
        <f ca="1">IF($D39="","",INDEX('Start List'!W$15:W$139,MATCH($D39,'Start List'!$B$15:$B$139,0)))</f>
        <v>737</v>
      </c>
      <c r="AA39" s="80">
        <f ca="1">IF($D39="","",INDEX('Start List'!X$15:X$139,MATCH($D39,'Start List'!$B$15:$B$139,0)))</f>
        <v>11</v>
      </c>
      <c r="AB39" s="80">
        <f ca="1">IF($D39="","",INDEX('Start List'!Y$15:Y$139,MATCH($D39,'Start List'!$B$15:$B$139,0)))</f>
        <v>6</v>
      </c>
    </row>
    <row r="40" spans="1:28" s="78" customFormat="1" ht="12.75" customHeight="1" x14ac:dyDescent="0.2">
      <c r="A40" s="59">
        <f>IF(OR(COUNT('Start List'!A:A)+COUNTIF('Start List'!$I$9:$I$14,"&lt;21")='By Category'!A39,A39=""),"",'By Category'!A39+1)</f>
        <v>32</v>
      </c>
      <c r="B40" s="74" t="str">
        <f>IF(A40="","",VLOOKUP(SMALL('Start List'!$I$9:$I$139,A40),'Start List'!$I$9:$J$14,2,FALSE))</f>
        <v>Senior Men</v>
      </c>
      <c r="C40" s="75">
        <f>IF(OR(B40="",COUNTIF($B$9:B40,B40)=1),"",COUNTIF($B$9:B40,B40)-1)</f>
        <v>4</v>
      </c>
      <c r="D40" s="227">
        <f ca="1">IF(""=C40,"",LARGE(INDIRECT(VLOOKUP(B40,'Start List'!$J$9:$N$14,5,FALSE)),C40))</f>
        <v>735.04057399999988</v>
      </c>
      <c r="E40" s="79" t="str">
        <f>IF(C40="","",VLOOKUP(B40,Data!$AK$2:$AN$7,4,FALSE)&amp;C40)</f>
        <v>SM4</v>
      </c>
      <c r="F40" s="80" t="str">
        <f>IF(COUNTIF(Data!$D$2:$D$97,'By Category'!$E40)=0,"",VLOOKUP('By Category'!$E40,Data!$D$2:$H$97,'By Category'!F$8,FALSE))</f>
        <v/>
      </c>
      <c r="G40" s="80" t="str">
        <f>IF(COUNTIF(Data!$D$2:$D$97,'By Category'!$E40)=0,"",VLOOKUP('By Category'!$E40,Data!$D$2:$H$97,'By Category'!G$8,FALSE))</f>
        <v/>
      </c>
      <c r="H40" s="80">
        <f>IF(COUNTIF(Data!$D$2:$D$97,'By Category'!$E40)=0,"",VLOOKUP('By Category'!$E40,Data!$D$2:$H$97,'By Category'!H$8,FALSE))</f>
        <v>27</v>
      </c>
      <c r="I40" s="80">
        <f>IF(COUNTIF(Data!$D$2:$D$97,'By Category'!$E40)=0,"",VLOOKUP('By Category'!$E40,Data!$D$2:$H$97,'By Category'!I$8,FALSE))</f>
        <v>13</v>
      </c>
      <c r="J40" s="77" t="str">
        <f ca="1">IF(B40&lt;&gt;B39,B40,IF($D40="","",INDEX('Start List'!$D$15:$D$139,MATCH($D40,'Start List'!$B$15:$B$139,0))))</f>
        <v>Baborák František</v>
      </c>
      <c r="K40" s="77" t="str">
        <f ca="1">IF($D40="","",INDEX('Start List'!$E$15:$E$139,MATCH($D40,'Start List'!$B$15:$B$139,0)))</f>
        <v>CZE - Plumlov</v>
      </c>
      <c r="L40" s="77" t="e">
        <f ca="1">IF($D40="","",INDEX('Start List'!$H$15:$H$139,MATCH($D40,'Start List'!$B$15:$B$139,0)))</f>
        <v>#N/A</v>
      </c>
      <c r="M40" s="79" t="str">
        <f ca="1">IF($D40="","",INDEX('Start List'!$F$15:$F$139,MATCH($D40,'Start List'!$B$15:$B$139,0)))</f>
        <v>SM</v>
      </c>
      <c r="N40" s="80">
        <f ca="1">IF($D40="","",INDEX('Start List'!K$15:K$139,MATCH($D40,'Start List'!$B$15:$B$139,0)))</f>
        <v>216</v>
      </c>
      <c r="O40" s="80">
        <f ca="1">IF($D40="","",INDEX('Start List'!L$15:L$139,MATCH($D40,'Start List'!$B$15:$B$139,0)))</f>
        <v>0</v>
      </c>
      <c r="P40" s="80">
        <f ca="1">IF($D40="","",INDEX('Start List'!M$15:M$139,MATCH($D40,'Start List'!$B$15:$B$139,0)))</f>
        <v>1</v>
      </c>
      <c r="Q40" s="80" t="str">
        <f ca="1">IF($D40="","",INDEX('Start List'!N$15:N$139,MATCH($D40,'Start List'!$B$15:$B$139,0)))</f>
        <v/>
      </c>
      <c r="R40" s="80">
        <f ca="1">IF($D40="","",INDEX('Start List'!O$15:O$139,MATCH($D40,'Start List'!$B$15:$B$139,0)))</f>
        <v>261</v>
      </c>
      <c r="S40" s="80">
        <f ca="1">IF($D40="","",INDEX('Start List'!P$15:P$139,MATCH($D40,'Start List'!$B$15:$B$139,0)))</f>
        <v>1</v>
      </c>
      <c r="T40" s="80">
        <f ca="1">IF($D40="","",INDEX('Start List'!Q$15:Q$139,MATCH($D40,'Start List'!$B$15:$B$139,0)))</f>
        <v>1</v>
      </c>
      <c r="U40" s="80" t="str">
        <f ca="1">IF($D40="","",INDEX('Start List'!R$15:R$139,MATCH($D40,'Start List'!$B$15:$B$139,0)))</f>
        <v/>
      </c>
      <c r="V40" s="80">
        <f ca="1">IF($D40="","",INDEX('Start List'!S$15:S$139,MATCH($D40,'Start List'!$B$15:$B$139,0)))</f>
        <v>258</v>
      </c>
      <c r="W40" s="80">
        <f ca="1">IF($D40="","",INDEX('Start List'!T$15:T$139,MATCH($D40,'Start List'!$B$15:$B$139,0)))</f>
        <v>3</v>
      </c>
      <c r="X40" s="80">
        <f ca="1">IF($D40="","",INDEX('Start List'!U$15:U$139,MATCH($D40,'Start List'!$B$15:$B$139,0)))</f>
        <v>4</v>
      </c>
      <c r="Y40" s="80" t="str">
        <f ca="1">IF($D40="","",INDEX('Start List'!V$15:V$139,MATCH($D40,'Start List'!$B$15:$B$139,0)))</f>
        <v/>
      </c>
      <c r="Z40" s="80">
        <f ca="1">IF($D40="","",INDEX('Start List'!W$15:W$139,MATCH($D40,'Start List'!$B$15:$B$139,0)))</f>
        <v>735</v>
      </c>
      <c r="AA40" s="80">
        <f ca="1">IF($D40="","",INDEX('Start List'!X$15:X$139,MATCH($D40,'Start List'!$B$15:$B$139,0)))</f>
        <v>4</v>
      </c>
      <c r="AB40" s="80">
        <f ca="1">IF($D40="","",INDEX('Start List'!Y$15:Y$139,MATCH($D40,'Start List'!$B$15:$B$139,0)))</f>
        <v>6</v>
      </c>
    </row>
    <row r="41" spans="1:28" ht="12.75" customHeight="1" x14ac:dyDescent="0.2">
      <c r="A41" s="59">
        <f>IF(OR(COUNT('Start List'!A:A)+COUNTIF('Start List'!$I$9:$I$14,"&lt;21")='By Category'!A40,A40=""),"",'By Category'!A40+1)</f>
        <v>33</v>
      </c>
      <c r="B41" s="74" t="str">
        <f>IF(A41="","",VLOOKUP(SMALL('Start List'!$I$9:$I$139,A41),'Start List'!$I$9:$J$14,2,FALSE))</f>
        <v>Senior Men</v>
      </c>
      <c r="C41" s="75">
        <f>IF(OR(B41="",COUNTIF($B$9:B41,B41)=1),"",COUNTIF($B$9:B41,B41)-1)</f>
        <v>5</v>
      </c>
      <c r="D41" s="227">
        <f ca="1">IF(""=C41,"",LARGE(INDIRECT(VLOOKUP(B41,'Start List'!$J$9:$N$14,5,FALSE)),C41))</f>
        <v>718.08097099999998</v>
      </c>
      <c r="E41" s="79" t="str">
        <f>IF(C41="","",VLOOKUP(B41,Data!$AK$2:$AN$7,4,FALSE)&amp;C41)</f>
        <v>SM5</v>
      </c>
      <c r="F41" s="80" t="str">
        <f>IF(COUNTIF(Data!$D$2:$D$97,'By Category'!$E41)=0,"",VLOOKUP('By Category'!$E41,Data!$D$2:$H$97,'By Category'!F$8,FALSE))</f>
        <v/>
      </c>
      <c r="G41" s="80" t="str">
        <f>IF(COUNTIF(Data!$D$2:$D$97,'By Category'!$E41)=0,"",VLOOKUP('By Category'!$E41,Data!$D$2:$H$97,'By Category'!G$8,FALSE))</f>
        <v/>
      </c>
      <c r="H41" s="80">
        <f>IF(COUNTIF(Data!$D$2:$D$97,'By Category'!$E41)=0,"",VLOOKUP('By Category'!$E41,Data!$D$2:$H$97,'By Category'!H$8,FALSE))</f>
        <v>27</v>
      </c>
      <c r="I41" s="80">
        <f>IF(COUNTIF(Data!$D$2:$D$97,'By Category'!$E41)=0,"",VLOOKUP('By Category'!$E41,Data!$D$2:$H$97,'By Category'!I$8,FALSE))</f>
        <v>13</v>
      </c>
      <c r="J41" s="77" t="str">
        <f ca="1">IF(B41&lt;&gt;B40,B41,IF($D41="","",INDEX('Start List'!$D$15:$D$139,MATCH($D41,'Start List'!$B$15:$B$139,0))))</f>
        <v>Palotai Gyula</v>
      </c>
      <c r="K41" s="77" t="str">
        <f ca="1">IF($D41="","",INDEX('Start List'!$E$15:$E$139,MATCH($D41,'Start List'!$B$15:$B$139,0)))</f>
        <v>HUN - Hungarian Shooting Federation</v>
      </c>
      <c r="L41" s="77" t="e">
        <f ca="1">IF($D41="","",INDEX('Start List'!$H$15:$H$139,MATCH($D41,'Start List'!$B$15:$B$139,0)))</f>
        <v>#N/A</v>
      </c>
      <c r="M41" s="79" t="str">
        <f ca="1">IF($D41="","",INDEX('Start List'!$F$15:$F$139,MATCH($D41,'Start List'!$B$15:$B$139,0)))</f>
        <v>SM</v>
      </c>
      <c r="N41" s="80">
        <f ca="1">IF($D41="","",INDEX('Start List'!K$15:K$139,MATCH($D41,'Start List'!$B$15:$B$139,0)))</f>
        <v>199</v>
      </c>
      <c r="O41" s="80">
        <f ca="1">IF($D41="","",INDEX('Start List'!L$15:L$139,MATCH($D41,'Start List'!$B$15:$B$139,0)))</f>
        <v>1</v>
      </c>
      <c r="P41" s="80">
        <f ca="1">IF($D41="","",INDEX('Start List'!M$15:M$139,MATCH($D41,'Start List'!$B$15:$B$139,0)))</f>
        <v>2</v>
      </c>
      <c r="Q41" s="80" t="str">
        <f ca="1">IF($D41="","",INDEX('Start List'!N$15:N$139,MATCH($D41,'Start List'!$B$15:$B$139,0)))</f>
        <v/>
      </c>
      <c r="R41" s="80">
        <f ca="1">IF($D41="","",INDEX('Start List'!O$15:O$139,MATCH($D41,'Start List'!$B$15:$B$139,0)))</f>
        <v>261</v>
      </c>
      <c r="S41" s="80">
        <f ca="1">IF($D41="","",INDEX('Start List'!P$15:P$139,MATCH($D41,'Start List'!$B$15:$B$139,0)))</f>
        <v>4</v>
      </c>
      <c r="T41" s="80">
        <f ca="1">IF($D41="","",INDEX('Start List'!Q$15:Q$139,MATCH($D41,'Start List'!$B$15:$B$139,0)))</f>
        <v>4</v>
      </c>
      <c r="U41" s="80" t="str">
        <f ca="1">IF($D41="","",INDEX('Start List'!R$15:R$139,MATCH($D41,'Start List'!$B$15:$B$139,0)))</f>
        <v/>
      </c>
      <c r="V41" s="80">
        <f ca="1">IF($D41="","",INDEX('Start List'!S$15:S$139,MATCH($D41,'Start List'!$B$15:$B$139,0)))</f>
        <v>258</v>
      </c>
      <c r="W41" s="80">
        <f ca="1">IF($D41="","",INDEX('Start List'!T$15:T$139,MATCH($D41,'Start List'!$B$15:$B$139,0)))</f>
        <v>3</v>
      </c>
      <c r="X41" s="80">
        <f ca="1">IF($D41="","",INDEX('Start List'!U$15:U$139,MATCH($D41,'Start List'!$B$15:$B$139,0)))</f>
        <v>4</v>
      </c>
      <c r="Y41" s="80" t="str">
        <f ca="1">IF($D41="","",INDEX('Start List'!V$15:V$139,MATCH($D41,'Start List'!$B$15:$B$139,0)))</f>
        <v/>
      </c>
      <c r="Z41" s="80">
        <f ca="1">IF($D41="","",INDEX('Start List'!W$15:W$139,MATCH($D41,'Start List'!$B$15:$B$139,0)))</f>
        <v>718</v>
      </c>
      <c r="AA41" s="80">
        <f ca="1">IF($D41="","",INDEX('Start List'!X$15:X$139,MATCH($D41,'Start List'!$B$15:$B$139,0)))</f>
        <v>8</v>
      </c>
      <c r="AB41" s="80">
        <f ca="1">IF($D41="","",INDEX('Start List'!Y$15:Y$139,MATCH($D41,'Start List'!$B$15:$B$139,0)))</f>
        <v>10</v>
      </c>
    </row>
    <row r="42" spans="1:28" ht="12.75" customHeight="1" x14ac:dyDescent="0.2">
      <c r="A42" s="59">
        <f>IF(OR(COUNT('Start List'!A:A)+COUNTIF('Start List'!$I$9:$I$14,"&lt;21")='By Category'!A41,A41=""),"",'By Category'!A41+1)</f>
        <v>34</v>
      </c>
      <c r="B42" s="74" t="str">
        <f>IF(A42="","",VLOOKUP(SMALL('Start List'!$I$9:$I$139,A42),'Start List'!$I$9:$J$14,2,FALSE))</f>
        <v>Senior Men</v>
      </c>
      <c r="C42" s="75">
        <f>IF(OR(B42="",COUNTIF($B$9:B42,B42)=1),"",COUNTIF($B$9:B42,B42)-1)</f>
        <v>6</v>
      </c>
      <c r="D42" s="227">
        <f ca="1">IF(""=C42,"",LARGE(INDIRECT(VLOOKUP(B42,'Start List'!$J$9:$N$14,5,FALSE)),C42))</f>
        <v>-2.8E-5</v>
      </c>
      <c r="E42" s="79" t="str">
        <f>IF(C42="","",VLOOKUP(B42,Data!$AK$2:$AN$7,4,FALSE)&amp;C42)</f>
        <v>SM6</v>
      </c>
      <c r="F42" s="80" t="str">
        <f>IF(COUNTIF(Data!$D$2:$D$97,'By Category'!$E42)=0,"",VLOOKUP('By Category'!$E42,Data!$D$2:$H$97,'By Category'!F$8,FALSE))</f>
        <v/>
      </c>
      <c r="G42" s="80" t="str">
        <f>IF(COUNTIF(Data!$D$2:$D$97,'By Category'!$E42)=0,"",VLOOKUP('By Category'!$E42,Data!$D$2:$H$97,'By Category'!G$8,FALSE))</f>
        <v/>
      </c>
      <c r="H42" s="80">
        <f>IF(COUNTIF(Data!$D$2:$D$97,'By Category'!$E42)=0,"",VLOOKUP('By Category'!$E42,Data!$D$2:$H$97,'By Category'!H$8,FALSE))</f>
        <v>30</v>
      </c>
      <c r="I42" s="80">
        <f>IF(COUNTIF(Data!$D$2:$D$97,'By Category'!$E42)=0,"",VLOOKUP('By Category'!$E42,Data!$D$2:$H$97,'By Category'!I$8,FALSE))</f>
        <v>14</v>
      </c>
      <c r="J42" s="77" t="str">
        <f ca="1">IF(B42&lt;&gt;B41,B42,IF($D42="","",INDEX('Start List'!$D$15:$D$139,MATCH($D42,'Start List'!$B$15:$B$139,0))))</f>
        <v>Sedláček František</v>
      </c>
      <c r="K42" s="77" t="str">
        <f ca="1">IF($D42="","",INDEX('Start List'!$E$15:$E$139,MATCH($D42,'Start List'!$B$15:$B$139,0)))</f>
        <v>CZE - Savana</v>
      </c>
      <c r="L42" s="77" t="e">
        <f ca="1">IF($D42="","",INDEX('Start List'!$H$15:$H$139,MATCH($D42,'Start List'!$B$15:$B$139,0)))</f>
        <v>#N/A</v>
      </c>
      <c r="M42" s="79" t="str">
        <f ca="1">IF($D42="","",INDEX('Start List'!$F$15:$F$139,MATCH($D42,'Start List'!$B$15:$B$139,0)))</f>
        <v>SM</v>
      </c>
      <c r="N42" s="80">
        <f ca="1">IF($D42="","",INDEX('Start List'!K$15:K$139,MATCH($D42,'Start List'!$B$15:$B$139,0)))</f>
        <v>0</v>
      </c>
      <c r="O42" s="80">
        <f ca="1">IF($D42="","",INDEX('Start List'!L$15:L$139,MATCH($D42,'Start List'!$B$15:$B$139,0)))</f>
        <v>0</v>
      </c>
      <c r="P42" s="80">
        <f ca="1">IF($D42="","",INDEX('Start List'!M$15:M$139,MATCH($D42,'Start List'!$B$15:$B$139,0)))</f>
        <v>0</v>
      </c>
      <c r="Q42" s="80" t="str">
        <f ca="1">IF($D42="","",INDEX('Start List'!N$15:N$139,MATCH($D42,'Start List'!$B$15:$B$139,0)))</f>
        <v/>
      </c>
      <c r="R42" s="80">
        <f ca="1">IF($D42="","",INDEX('Start List'!O$15:O$139,MATCH($D42,'Start List'!$B$15:$B$139,0)))</f>
        <v>0</v>
      </c>
      <c r="S42" s="80">
        <f ca="1">IF($D42="","",INDEX('Start List'!P$15:P$139,MATCH($D42,'Start List'!$B$15:$B$139,0)))</f>
        <v>0</v>
      </c>
      <c r="T42" s="80">
        <f ca="1">IF($D42="","",INDEX('Start List'!Q$15:Q$139,MATCH($D42,'Start List'!$B$15:$B$139,0)))</f>
        <v>0</v>
      </c>
      <c r="U42" s="80" t="str">
        <f ca="1">IF($D42="","",INDEX('Start List'!R$15:R$139,MATCH($D42,'Start List'!$B$15:$B$139,0)))</f>
        <v/>
      </c>
      <c r="V42" s="80">
        <f ca="1">IF($D42="","",INDEX('Start List'!S$15:S$139,MATCH($D42,'Start List'!$B$15:$B$139,0)))</f>
        <v>0</v>
      </c>
      <c r="W42" s="80">
        <f ca="1">IF($D42="","",INDEX('Start List'!T$15:T$139,MATCH($D42,'Start List'!$B$15:$B$139,0)))</f>
        <v>0</v>
      </c>
      <c r="X42" s="80">
        <f ca="1">IF($D42="","",INDEX('Start List'!U$15:U$139,MATCH($D42,'Start List'!$B$15:$B$139,0)))</f>
        <v>0</v>
      </c>
      <c r="Y42" s="80">
        <f ca="1">IF($D42="","",INDEX('Start List'!V$15:V$139,MATCH($D42,'Start List'!$B$15:$B$139,0)))</f>
        <v>0</v>
      </c>
      <c r="Z42" s="80">
        <f ca="1">IF($D42="","",INDEX('Start List'!W$15:W$139,MATCH($D42,'Start List'!$B$15:$B$139,0)))</f>
        <v>0</v>
      </c>
      <c r="AA42" s="80">
        <f ca="1">IF($D42="","",INDEX('Start List'!X$15:X$139,MATCH($D42,'Start List'!$B$15:$B$139,0)))</f>
        <v>0</v>
      </c>
      <c r="AB42" s="80">
        <f ca="1">IF($D42="","",INDEX('Start List'!Y$15:Y$139,MATCH($D42,'Start List'!$B$15:$B$139,0)))</f>
        <v>0</v>
      </c>
    </row>
    <row r="43" spans="1:28" ht="12.75" customHeight="1" x14ac:dyDescent="0.2">
      <c r="A43" s="59">
        <f>IF(OR(COUNT('Start List'!A:A)+COUNTIF('Start List'!$I$9:$I$14,"&lt;21")='By Category'!A42,A42=""),"",'By Category'!A42+1)</f>
        <v>35</v>
      </c>
      <c r="B43" s="74" t="str">
        <f>IF(A43="","",VLOOKUP(SMALL('Start List'!$I$9:$I$139,A43),'Start List'!$I$9:$J$14,2,FALSE))</f>
        <v>Senior Women</v>
      </c>
      <c r="C43" s="75" t="str">
        <f>IF(OR(B43="",COUNTIF($B$9:B43,B43)=1),"",COUNTIF($B$9:B43,B43)-1)</f>
        <v/>
      </c>
      <c r="D43" s="227" t="str">
        <f ca="1">IF(""=C43,"",LARGE(INDIRECT(VLOOKUP(B43,'Start List'!$J$9:$N$14,5,FALSE)),C43))</f>
        <v/>
      </c>
      <c r="E43" s="79" t="str">
        <f>IF(C43="","",VLOOKUP(B43,Data!$AK$2:$AN$7,4,FALSE)&amp;C43)</f>
        <v/>
      </c>
      <c r="F43" s="80" t="str">
        <f>IF(COUNTIF(Data!$D$2:$D$97,'By Category'!$E43)=0,"",VLOOKUP('By Category'!$E43,Data!$D$2:$H$97,'By Category'!F$8,FALSE))</f>
        <v/>
      </c>
      <c r="G43" s="80" t="str">
        <f>IF(COUNTIF(Data!$D$2:$D$97,'By Category'!$E43)=0,"",VLOOKUP('By Category'!$E43,Data!$D$2:$H$97,'By Category'!G$8,FALSE))</f>
        <v/>
      </c>
      <c r="H43" s="80" t="str">
        <f>IF(COUNTIF(Data!$D$2:$D$97,'By Category'!$E43)=0,"",VLOOKUP('By Category'!$E43,Data!$D$2:$H$97,'By Category'!H$8,FALSE))</f>
        <v/>
      </c>
      <c r="I43" s="80" t="str">
        <f>IF(COUNTIF(Data!$D$2:$D$97,'By Category'!$E43)=0,"",VLOOKUP('By Category'!$E43,Data!$D$2:$H$97,'By Category'!I$8,FALSE))</f>
        <v/>
      </c>
      <c r="J43" s="77" t="str">
        <f>IF(B43&lt;&gt;B42,B43,IF($D43="","",INDEX('Start List'!$D$15:$D$139,MATCH($D43,'Start List'!$B$15:$B$139,0))))</f>
        <v>Senior Women</v>
      </c>
      <c r="K43" s="77" t="str">
        <f ca="1">IF($D43="","",INDEX('Start List'!$E$15:$E$139,MATCH($D43,'Start List'!$B$15:$B$139,0)))</f>
        <v/>
      </c>
      <c r="L43" s="77" t="str">
        <f ca="1">IF($D43="","",INDEX('Start List'!$H$15:$H$139,MATCH($D43,'Start List'!$B$15:$B$139,0)))</f>
        <v/>
      </c>
      <c r="M43" s="79" t="str">
        <f ca="1">IF($D43="","",INDEX('Start List'!$F$15:$F$139,MATCH($D43,'Start List'!$B$15:$B$139,0)))</f>
        <v/>
      </c>
      <c r="N43" s="80" t="str">
        <f ca="1">IF($D43="","",INDEX('Start List'!K$15:K$139,MATCH($D43,'Start List'!$B$15:$B$139,0)))</f>
        <v/>
      </c>
      <c r="O43" s="80" t="str">
        <f ca="1">IF($D43="","",INDEX('Start List'!L$15:L$139,MATCH($D43,'Start List'!$B$15:$B$139,0)))</f>
        <v/>
      </c>
      <c r="P43" s="80" t="str">
        <f ca="1">IF($D43="","",INDEX('Start List'!M$15:M$139,MATCH($D43,'Start List'!$B$15:$B$139,0)))</f>
        <v/>
      </c>
      <c r="Q43" s="80" t="str">
        <f ca="1">IF($D43="","",INDEX('Start List'!N$15:N$139,MATCH($D43,'Start List'!$B$15:$B$139,0)))</f>
        <v/>
      </c>
      <c r="R43" s="80" t="str">
        <f ca="1">IF($D43="","",INDEX('Start List'!O$15:O$139,MATCH($D43,'Start List'!$B$15:$B$139,0)))</f>
        <v/>
      </c>
      <c r="S43" s="80" t="str">
        <f ca="1">IF($D43="","",INDEX('Start List'!P$15:P$139,MATCH($D43,'Start List'!$B$15:$B$139,0)))</f>
        <v/>
      </c>
      <c r="T43" s="80" t="str">
        <f ca="1">IF($D43="","",INDEX('Start List'!Q$15:Q$139,MATCH($D43,'Start List'!$B$15:$B$139,0)))</f>
        <v/>
      </c>
      <c r="U43" s="80" t="str">
        <f ca="1">IF($D43="","",INDEX('Start List'!R$15:R$139,MATCH($D43,'Start List'!$B$15:$B$139,0)))</f>
        <v/>
      </c>
      <c r="V43" s="80" t="str">
        <f ca="1">IF($D43="","",INDEX('Start List'!S$15:S$139,MATCH($D43,'Start List'!$B$15:$B$139,0)))</f>
        <v/>
      </c>
      <c r="W43" s="80" t="str">
        <f ca="1">IF($D43="","",INDEX('Start List'!T$15:T$139,MATCH($D43,'Start List'!$B$15:$B$139,0)))</f>
        <v/>
      </c>
      <c r="X43" s="80" t="str">
        <f ca="1">IF($D43="","",INDEX('Start List'!U$15:U$139,MATCH($D43,'Start List'!$B$15:$B$139,0)))</f>
        <v/>
      </c>
      <c r="Y43" s="80" t="str">
        <f ca="1">IF($D43="","",INDEX('Start List'!V$15:V$139,MATCH($D43,'Start List'!$B$15:$B$139,0)))</f>
        <v/>
      </c>
      <c r="Z43" s="80" t="str">
        <f ca="1">IF($D43="","",INDEX('Start List'!W$15:W$139,MATCH($D43,'Start List'!$B$15:$B$139,0)))</f>
        <v/>
      </c>
      <c r="AA43" s="80" t="str">
        <f ca="1">IF($D43="","",INDEX('Start List'!X$15:X$139,MATCH($D43,'Start List'!$B$15:$B$139,0)))</f>
        <v/>
      </c>
      <c r="AB43" s="80" t="str">
        <f ca="1">IF($D43="","",INDEX('Start List'!Y$15:Y$139,MATCH($D43,'Start List'!$B$15:$B$139,0)))</f>
        <v/>
      </c>
    </row>
    <row r="44" spans="1:28" ht="12.75" customHeight="1" x14ac:dyDescent="0.2">
      <c r="A44" s="59">
        <f>IF(OR(COUNT('Start List'!A:A)+COUNTIF('Start List'!$I$9:$I$14,"&lt;21")='By Category'!A43,A43=""),"",'By Category'!A43+1)</f>
        <v>36</v>
      </c>
      <c r="B44" s="74" t="str">
        <f>IF(A44="","",VLOOKUP(SMALL('Start List'!$I$9:$I$139,A44),'Start List'!$I$9:$J$14,2,FALSE))</f>
        <v>Senior Women</v>
      </c>
      <c r="C44" s="75">
        <f>IF(OR(B44="",COUNTIF($B$9:B44,B44)=1),"",COUNTIF($B$9:B44,B44)-1)</f>
        <v>1</v>
      </c>
      <c r="D44" s="227">
        <f ca="1">IF(""=C44,"",LARGE(INDIRECT(VLOOKUP(B44,'Start List'!$J$9:$N$14,5,FALSE)),C44))</f>
        <v>795.18106899999987</v>
      </c>
      <c r="E44" s="79" t="str">
        <f>IF(C44="","",VLOOKUP(B44,Data!$AK$2:$AN$7,4,FALSE)&amp;C44)</f>
        <v>SW1</v>
      </c>
      <c r="F44" s="80" t="str">
        <f>IF(COUNTIF(Data!$D$2:$D$97,'By Category'!$E44)=0,"",VLOOKUP('By Category'!$E44,Data!$D$2:$H$97,'By Category'!F$8,FALSE))</f>
        <v/>
      </c>
      <c r="G44" s="80" t="str">
        <f>IF(COUNTIF(Data!$D$2:$D$97,'By Category'!$E44)=0,"",VLOOKUP('By Category'!$E44,Data!$D$2:$H$97,'By Category'!G$8,FALSE))</f>
        <v/>
      </c>
      <c r="H44" s="80">
        <f>IF(COUNTIF(Data!$D$2:$D$97,'By Category'!$E44)=0,"",VLOOKUP('By Category'!$E44,Data!$D$2:$H$97,'By Category'!H$8,FALSE))</f>
        <v>32</v>
      </c>
      <c r="I44" s="80">
        <f>IF(COUNTIF(Data!$D$2:$D$97,'By Category'!$E44)=0,"",VLOOKUP('By Category'!$E44,Data!$D$2:$H$97,'By Category'!I$8,FALSE))</f>
        <v>16</v>
      </c>
      <c r="J44" s="77" t="str">
        <f ca="1">IF(B44&lt;&gt;B43,B44,IF($D44="","",INDEX('Start List'!$D$15:$D$139,MATCH($D44,'Start List'!$B$15:$B$139,0))))</f>
        <v>Nedělníková Jaroslava</v>
      </c>
      <c r="K44" s="77" t="str">
        <f ca="1">IF($D44="","",INDEX('Start List'!$E$15:$E$139,MATCH($D44,'Start List'!$B$15:$B$139,0)))</f>
        <v>CZE - Savana</v>
      </c>
      <c r="L44" s="77" t="e">
        <f ca="1">IF($D44="","",INDEX('Start List'!$H$15:$H$139,MATCH($D44,'Start List'!$B$15:$B$139,0)))</f>
        <v>#N/A</v>
      </c>
      <c r="M44" s="79" t="str">
        <f ca="1">IF($D44="","",INDEX('Start List'!$F$15:$F$139,MATCH($D44,'Start List'!$B$15:$B$139,0)))</f>
        <v>SW</v>
      </c>
      <c r="N44" s="80">
        <f ca="1">IF($D44="","",INDEX('Start List'!K$15:K$139,MATCH($D44,'Start List'!$B$15:$B$139,0)))</f>
        <v>250</v>
      </c>
      <c r="O44" s="80">
        <f ca="1">IF($D44="","",INDEX('Start List'!L$15:L$139,MATCH($D44,'Start List'!$B$15:$B$139,0)))</f>
        <v>4</v>
      </c>
      <c r="P44" s="80">
        <f ca="1">IF($D44="","",INDEX('Start List'!M$15:M$139,MATCH($D44,'Start List'!$B$15:$B$139,0)))</f>
        <v>2</v>
      </c>
      <c r="Q44" s="80" t="str">
        <f ca="1">IF($D44="","",INDEX('Start List'!N$15:N$139,MATCH($D44,'Start List'!$B$15:$B$139,0)))</f>
        <v/>
      </c>
      <c r="R44" s="80">
        <f ca="1">IF($D44="","",INDEX('Start List'!O$15:O$139,MATCH($D44,'Start List'!$B$15:$B$139,0)))</f>
        <v>262</v>
      </c>
      <c r="S44" s="80">
        <f ca="1">IF($D44="","",INDEX('Start List'!P$15:P$139,MATCH($D44,'Start List'!$B$15:$B$139,0)))</f>
        <v>5</v>
      </c>
      <c r="T44" s="80">
        <f ca="1">IF($D44="","",INDEX('Start List'!Q$15:Q$139,MATCH($D44,'Start List'!$B$15:$B$139,0)))</f>
        <v>1</v>
      </c>
      <c r="U44" s="80" t="str">
        <f ca="1">IF($D44="","",INDEX('Start List'!R$15:R$139,MATCH($D44,'Start List'!$B$15:$B$139,0)))</f>
        <v/>
      </c>
      <c r="V44" s="80">
        <f ca="1">IF($D44="","",INDEX('Start List'!S$15:S$139,MATCH($D44,'Start List'!$B$15:$B$139,0)))</f>
        <v>283</v>
      </c>
      <c r="W44" s="80">
        <f ca="1">IF($D44="","",INDEX('Start List'!T$15:T$139,MATCH($D44,'Start List'!$B$15:$B$139,0)))</f>
        <v>9</v>
      </c>
      <c r="X44" s="80">
        <f ca="1">IF($D44="","",INDEX('Start List'!U$15:U$139,MATCH($D44,'Start List'!$B$15:$B$139,0)))</f>
        <v>8</v>
      </c>
      <c r="Y44" s="80" t="str">
        <f ca="1">IF($D44="","",INDEX('Start List'!V$15:V$139,MATCH($D44,'Start List'!$B$15:$B$139,0)))</f>
        <v/>
      </c>
      <c r="Z44" s="80">
        <f ca="1">IF($D44="","",INDEX('Start List'!W$15:W$139,MATCH($D44,'Start List'!$B$15:$B$139,0)))</f>
        <v>795</v>
      </c>
      <c r="AA44" s="80">
        <f ca="1">IF($D44="","",INDEX('Start List'!X$15:X$139,MATCH($D44,'Start List'!$B$15:$B$139,0)))</f>
        <v>18</v>
      </c>
      <c r="AB44" s="80">
        <f ca="1">IF($D44="","",INDEX('Start List'!Y$15:Y$139,MATCH($D44,'Start List'!$B$15:$B$139,0)))</f>
        <v>11</v>
      </c>
    </row>
    <row r="45" spans="1:28" ht="12.75" customHeight="1" x14ac:dyDescent="0.2">
      <c r="A45" s="59">
        <f>IF(OR(COUNT('Start List'!A:A)+COUNTIF('Start List'!$I$9:$I$14,"&lt;21")='By Category'!A44,A44=""),"",'By Category'!A44+1)</f>
        <v>37</v>
      </c>
      <c r="B45" s="74" t="str">
        <f>IF(A45="","",VLOOKUP(SMALL('Start List'!$I$9:$I$139,A45),'Start List'!$I$9:$J$14,2,FALSE))</f>
        <v>Senior Women</v>
      </c>
      <c r="C45" s="75">
        <f>IF(OR(B45="",COUNTIF($B$9:B45,B45)=1),"",COUNTIF($B$9:B45,B45)-1)</f>
        <v>2</v>
      </c>
      <c r="D45" s="227">
        <f ca="1">IF(""=C45,"",LARGE(INDIRECT(VLOOKUP(B45,'Start List'!$J$9:$N$14,5,FALSE)),C45))</f>
        <v>780.12157000000002</v>
      </c>
      <c r="E45" s="79" t="str">
        <f>IF(C45="","",VLOOKUP(B45,Data!$AK$2:$AN$7,4,FALSE)&amp;C45)</f>
        <v>SW2</v>
      </c>
      <c r="F45" s="80" t="str">
        <f>IF(COUNTIF(Data!$D$2:$D$97,'By Category'!$E45)=0,"",VLOOKUP('By Category'!$E45,Data!$D$2:$H$97,'By Category'!F$8,FALSE))</f>
        <v/>
      </c>
      <c r="G45" s="80" t="str">
        <f>IF(COUNTIF(Data!$D$2:$D$97,'By Category'!$E45)=0,"",VLOOKUP('By Category'!$E45,Data!$D$2:$H$97,'By Category'!G$8,FALSE))</f>
        <v/>
      </c>
      <c r="H45" s="80">
        <f>IF(COUNTIF(Data!$D$2:$D$97,'By Category'!$E45)=0,"",VLOOKUP('By Category'!$E45,Data!$D$2:$H$97,'By Category'!H$8,FALSE))</f>
        <v>35</v>
      </c>
      <c r="I45" s="80">
        <f>IF(COUNTIF(Data!$D$2:$D$97,'By Category'!$E45)=0,"",VLOOKUP('By Category'!$E45,Data!$D$2:$H$97,'By Category'!I$8,FALSE))</f>
        <v>17</v>
      </c>
      <c r="J45" s="77" t="str">
        <f ca="1">IF(B45&lt;&gt;B44,B45,IF($D45="","",INDEX('Start List'!$D$15:$D$139,MATCH($D45,'Start List'!$B$15:$B$139,0))))</f>
        <v>Dr. Lénárt Ágota</v>
      </c>
      <c r="K45" s="77" t="str">
        <f ca="1">IF($D45="","",INDEX('Start List'!$E$15:$E$139,MATCH($D45,'Start List'!$B$15:$B$139,0)))</f>
        <v>HUN - Hungarian Shooting Federation</v>
      </c>
      <c r="L45" s="77" t="e">
        <f ca="1">IF($D45="","",INDEX('Start List'!$H$15:$H$139,MATCH($D45,'Start List'!$B$15:$B$139,0)))</f>
        <v>#N/A</v>
      </c>
      <c r="M45" s="79" t="str">
        <f ca="1">IF($D45="","",INDEX('Start List'!$F$15:$F$139,MATCH($D45,'Start List'!$B$15:$B$139,0)))</f>
        <v>SW</v>
      </c>
      <c r="N45" s="80">
        <f ca="1">IF($D45="","",INDEX('Start List'!K$15:K$139,MATCH($D45,'Start List'!$B$15:$B$139,0)))</f>
        <v>234</v>
      </c>
      <c r="O45" s="80">
        <f ca="1">IF($D45="","",INDEX('Start List'!L$15:L$139,MATCH($D45,'Start List'!$B$15:$B$139,0)))</f>
        <v>2</v>
      </c>
      <c r="P45" s="80">
        <f ca="1">IF($D45="","",INDEX('Start List'!M$15:M$139,MATCH($D45,'Start List'!$B$15:$B$139,0)))</f>
        <v>2</v>
      </c>
      <c r="Q45" s="80" t="str">
        <f ca="1">IF($D45="","",INDEX('Start List'!N$15:N$139,MATCH($D45,'Start List'!$B$15:$B$139,0)))</f>
        <v/>
      </c>
      <c r="R45" s="80">
        <f ca="1">IF($D45="","",INDEX('Start List'!O$15:O$139,MATCH($D45,'Start List'!$B$15:$B$139,0)))</f>
        <v>270</v>
      </c>
      <c r="S45" s="80">
        <f ca="1">IF($D45="","",INDEX('Start List'!P$15:P$139,MATCH($D45,'Start List'!$B$15:$B$139,0)))</f>
        <v>6</v>
      </c>
      <c r="T45" s="80">
        <f ca="1">IF($D45="","",INDEX('Start List'!Q$15:Q$139,MATCH($D45,'Start List'!$B$15:$B$139,0)))</f>
        <v>5</v>
      </c>
      <c r="U45" s="80" t="str">
        <f ca="1">IF($D45="","",INDEX('Start List'!R$15:R$139,MATCH($D45,'Start List'!$B$15:$B$139,0)))</f>
        <v/>
      </c>
      <c r="V45" s="80">
        <f ca="1">IF($D45="","",INDEX('Start List'!S$15:S$139,MATCH($D45,'Start List'!$B$15:$B$139,0)))</f>
        <v>276</v>
      </c>
      <c r="W45" s="80">
        <f ca="1">IF($D45="","",INDEX('Start List'!T$15:T$139,MATCH($D45,'Start List'!$B$15:$B$139,0)))</f>
        <v>4</v>
      </c>
      <c r="X45" s="80">
        <f ca="1">IF($D45="","",INDEX('Start List'!U$15:U$139,MATCH($D45,'Start List'!$B$15:$B$139,0)))</f>
        <v>9</v>
      </c>
      <c r="Y45" s="80" t="str">
        <f ca="1">IF($D45="","",INDEX('Start List'!V$15:V$139,MATCH($D45,'Start List'!$B$15:$B$139,0)))</f>
        <v/>
      </c>
      <c r="Z45" s="80">
        <f ca="1">IF($D45="","",INDEX('Start List'!W$15:W$139,MATCH($D45,'Start List'!$B$15:$B$139,0)))</f>
        <v>780</v>
      </c>
      <c r="AA45" s="80">
        <f ca="1">IF($D45="","",INDEX('Start List'!X$15:X$139,MATCH($D45,'Start List'!$B$15:$B$139,0)))</f>
        <v>12</v>
      </c>
      <c r="AB45" s="80">
        <f ca="1">IF($D45="","",INDEX('Start List'!Y$15:Y$139,MATCH($D45,'Start List'!$B$15:$B$139,0)))</f>
        <v>16</v>
      </c>
    </row>
    <row r="46" spans="1:28" ht="12.75" customHeight="1" x14ac:dyDescent="0.2">
      <c r="A46" s="59">
        <f>IF(OR(COUNT('Start List'!A:A)+COUNTIF('Start List'!$I$9:$I$14,"&lt;21")='By Category'!A45,A45=""),"",'By Category'!A45+1)</f>
        <v>38</v>
      </c>
      <c r="B46" s="74" t="str">
        <f>IF(A46="","",VLOOKUP(SMALL('Start List'!$I$9:$I$139,A46),'Start List'!$I$9:$J$14,2,FALSE))</f>
        <v>Senior Women</v>
      </c>
      <c r="C46" s="75">
        <f>IF(OR(B46="",COUNTIF($B$9:B46,B46)=1),"",COUNTIF($B$9:B46,B46)-1)</f>
        <v>3</v>
      </c>
      <c r="D46" s="227">
        <f ca="1">IF(""=C46,"",LARGE(INDIRECT(VLOOKUP(B46,'Start List'!$J$9:$N$14,5,FALSE)),C46))</f>
        <v>759.11086799999998</v>
      </c>
      <c r="E46" s="79" t="str">
        <f>IF(C46="","",VLOOKUP(B46,Data!$AK$2:$AN$7,4,FALSE)&amp;C46)</f>
        <v>SW3</v>
      </c>
      <c r="F46" s="80" t="str">
        <f>IF(COUNTIF(Data!$D$2:$D$97,'By Category'!$E46)=0,"",VLOOKUP('By Category'!$E46,Data!$D$2:$H$97,'By Category'!F$8,FALSE))</f>
        <v/>
      </c>
      <c r="G46" s="80" t="str">
        <f>IF(COUNTIF(Data!$D$2:$D$97,'By Category'!$E46)=0,"",VLOOKUP('By Category'!$E46,Data!$D$2:$H$97,'By Category'!G$8,FALSE))</f>
        <v/>
      </c>
      <c r="H46" s="80">
        <f>IF(COUNTIF(Data!$D$2:$D$97,'By Category'!$E46)=0,"",VLOOKUP('By Category'!$E46,Data!$D$2:$H$97,'By Category'!H$8,FALSE))</f>
        <v>36</v>
      </c>
      <c r="I46" s="80">
        <f>IF(COUNTIF(Data!$D$2:$D$97,'By Category'!$E46)=0,"",VLOOKUP('By Category'!$E46,Data!$D$2:$H$97,'By Category'!I$8,FALSE))</f>
        <v>17</v>
      </c>
      <c r="J46" s="77" t="str">
        <f ca="1">IF(B46&lt;&gt;B45,B46,IF($D46="","",INDEX('Start List'!$D$15:$D$139,MATCH($D46,'Start List'!$B$15:$B$139,0))))</f>
        <v>Kocsis Mária</v>
      </c>
      <c r="K46" s="77" t="str">
        <f ca="1">IF($D46="","",INDEX('Start List'!$E$15:$E$139,MATCH($D46,'Start List'!$B$15:$B$139,0)))</f>
        <v>HUN - Hungarian Shooting Federation</v>
      </c>
      <c r="L46" s="77" t="e">
        <f ca="1">IF($D46="","",INDEX('Start List'!$H$15:$H$139,MATCH($D46,'Start List'!$B$15:$B$139,0)))</f>
        <v>#N/A</v>
      </c>
      <c r="M46" s="79" t="str">
        <f ca="1">IF($D46="","",INDEX('Start List'!$F$15:$F$139,MATCH($D46,'Start List'!$B$15:$B$139,0)))</f>
        <v>SW</v>
      </c>
      <c r="N46" s="80">
        <f ca="1">IF($D46="","",INDEX('Start List'!K$15:K$139,MATCH($D46,'Start List'!$B$15:$B$139,0)))</f>
        <v>248</v>
      </c>
      <c r="O46" s="80">
        <f ca="1">IF($D46="","",INDEX('Start List'!L$15:L$139,MATCH($D46,'Start List'!$B$15:$B$139,0)))</f>
        <v>3</v>
      </c>
      <c r="P46" s="80">
        <f ca="1">IF($D46="","",INDEX('Start List'!M$15:M$139,MATCH($D46,'Start List'!$B$15:$B$139,0)))</f>
        <v>3</v>
      </c>
      <c r="Q46" s="80" t="str">
        <f ca="1">IF($D46="","",INDEX('Start List'!N$15:N$139,MATCH($D46,'Start List'!$B$15:$B$139,0)))</f>
        <v/>
      </c>
      <c r="R46" s="80">
        <f ca="1">IF($D46="","",INDEX('Start List'!O$15:O$139,MATCH($D46,'Start List'!$B$15:$B$139,0)))</f>
        <v>253</v>
      </c>
      <c r="S46" s="80">
        <f ca="1">IF($D46="","",INDEX('Start List'!P$15:P$139,MATCH($D46,'Start List'!$B$15:$B$139,0)))</f>
        <v>4</v>
      </c>
      <c r="T46" s="80">
        <f ca="1">IF($D46="","",INDEX('Start List'!Q$15:Q$139,MATCH($D46,'Start List'!$B$15:$B$139,0)))</f>
        <v>1</v>
      </c>
      <c r="U46" s="80" t="str">
        <f ca="1">IF($D46="","",INDEX('Start List'!R$15:R$139,MATCH($D46,'Start List'!$B$15:$B$139,0)))</f>
        <v/>
      </c>
      <c r="V46" s="80">
        <f ca="1">IF($D46="","",INDEX('Start List'!S$15:S$139,MATCH($D46,'Start List'!$B$15:$B$139,0)))</f>
        <v>258</v>
      </c>
      <c r="W46" s="80">
        <f ca="1">IF($D46="","",INDEX('Start List'!T$15:T$139,MATCH($D46,'Start List'!$B$15:$B$139,0)))</f>
        <v>4</v>
      </c>
      <c r="X46" s="80">
        <f ca="1">IF($D46="","",INDEX('Start List'!U$15:U$139,MATCH($D46,'Start List'!$B$15:$B$139,0)))</f>
        <v>5</v>
      </c>
      <c r="Y46" s="80" t="str">
        <f ca="1">IF($D46="","",INDEX('Start List'!V$15:V$139,MATCH($D46,'Start List'!$B$15:$B$139,0)))</f>
        <v/>
      </c>
      <c r="Z46" s="80">
        <f ca="1">IF($D46="","",INDEX('Start List'!W$15:W$139,MATCH($D46,'Start List'!$B$15:$B$139,0)))</f>
        <v>759</v>
      </c>
      <c r="AA46" s="80">
        <f ca="1">IF($D46="","",INDEX('Start List'!X$15:X$139,MATCH($D46,'Start List'!$B$15:$B$139,0)))</f>
        <v>11</v>
      </c>
      <c r="AB46" s="80">
        <f ca="1">IF($D46="","",INDEX('Start List'!Y$15:Y$139,MATCH($D46,'Start List'!$B$15:$B$139,0)))</f>
        <v>9</v>
      </c>
    </row>
    <row r="47" spans="1:28" ht="12.75" customHeight="1" x14ac:dyDescent="0.2">
      <c r="A47" s="59" t="str">
        <f>IF(OR(COUNT('Start List'!A:A)+COUNTIF('Start List'!$I$9:$I$14,"&lt;21")='By Category'!A46,A46=""),"",'By Category'!A46+1)</f>
        <v/>
      </c>
      <c r="B47" s="74" t="str">
        <f>IF(A47="","",VLOOKUP(SMALL('Start List'!$I$9:$I$139,A47),'Start List'!$I$9:$J$14,2,FALSE))</f>
        <v/>
      </c>
      <c r="C47" s="75" t="str">
        <f>IF(OR(B47="",COUNTIF($B$9:B47,B47)=1),"",COUNTIF($B$9:B47,B47)-1)</f>
        <v/>
      </c>
      <c r="D47" s="227" t="str">
        <f ca="1">IF(""=C47,"",LARGE(INDIRECT(VLOOKUP(B47,'Start List'!$J$9:$N$14,5,FALSE)),C47))</f>
        <v/>
      </c>
      <c r="E47" s="79" t="str">
        <f>IF(C47="","",VLOOKUP(B47,Data!$AK$2:$AN$7,4,FALSE)&amp;C47)</f>
        <v/>
      </c>
      <c r="F47" s="80" t="str">
        <f>IF(COUNTIF(Data!$D$2:$D$97,'By Category'!$E47)=0,"",VLOOKUP('By Category'!$E47,Data!$D$2:$H$97,'By Category'!F$8,FALSE))</f>
        <v/>
      </c>
      <c r="G47" s="80" t="str">
        <f>IF(COUNTIF(Data!$D$2:$D$97,'By Category'!$E47)=0,"",VLOOKUP('By Category'!$E47,Data!$D$2:$H$97,'By Category'!G$8,FALSE))</f>
        <v/>
      </c>
      <c r="H47" s="80" t="str">
        <f>IF(COUNTIF(Data!$D$2:$D$97,'By Category'!$E47)=0,"",VLOOKUP('By Category'!$E47,Data!$D$2:$H$97,'By Category'!H$8,FALSE))</f>
        <v/>
      </c>
      <c r="I47" s="80" t="str">
        <f>IF(COUNTIF(Data!$D$2:$D$97,'By Category'!$E47)=0,"",VLOOKUP('By Category'!$E47,Data!$D$2:$H$97,'By Category'!I$8,FALSE))</f>
        <v/>
      </c>
      <c r="J47" s="77" t="str">
        <f>IF(B47&lt;&gt;B46,B47,IF($D47="","",INDEX('Start List'!$D$15:$D$139,MATCH($D47,'Start List'!$B$15:$B$139,0))))</f>
        <v/>
      </c>
      <c r="K47" s="77" t="str">
        <f ca="1">IF($D47="","",INDEX('Start List'!$E$15:$E$139,MATCH($D47,'Start List'!$B$15:$B$139,0)))</f>
        <v/>
      </c>
      <c r="L47" s="77" t="str">
        <f ca="1">IF($D47="","",INDEX('Start List'!$H$15:$H$139,MATCH($D47,'Start List'!$B$15:$B$139,0)))</f>
        <v/>
      </c>
      <c r="M47" s="79" t="str">
        <f ca="1">IF($D47="","",INDEX('Start List'!$F$15:$F$139,MATCH($D47,'Start List'!$B$15:$B$139,0)))</f>
        <v/>
      </c>
      <c r="N47" s="80" t="str">
        <f ca="1">IF($D47="","",INDEX('Start List'!K$15:K$139,MATCH($D47,'Start List'!$B$15:$B$139,0)))</f>
        <v/>
      </c>
      <c r="O47" s="80" t="str">
        <f ca="1">IF($D47="","",INDEX('Start List'!L$15:L$139,MATCH($D47,'Start List'!$B$15:$B$139,0)))</f>
        <v/>
      </c>
      <c r="P47" s="80" t="str">
        <f ca="1">IF($D47="","",INDEX('Start List'!M$15:M$139,MATCH($D47,'Start List'!$B$15:$B$139,0)))</f>
        <v/>
      </c>
      <c r="Q47" s="80" t="str">
        <f ca="1">IF($D47="","",INDEX('Start List'!N$15:N$139,MATCH($D47,'Start List'!$B$15:$B$139,0)))</f>
        <v/>
      </c>
      <c r="R47" s="80" t="str">
        <f ca="1">IF($D47="","",INDEX('Start List'!O$15:O$139,MATCH($D47,'Start List'!$B$15:$B$139,0)))</f>
        <v/>
      </c>
      <c r="S47" s="80" t="str">
        <f ca="1">IF($D47="","",INDEX('Start List'!P$15:P$139,MATCH($D47,'Start List'!$B$15:$B$139,0)))</f>
        <v/>
      </c>
      <c r="T47" s="80" t="str">
        <f ca="1">IF($D47="","",INDEX('Start List'!Q$15:Q$139,MATCH($D47,'Start List'!$B$15:$B$139,0)))</f>
        <v/>
      </c>
      <c r="U47" s="80" t="str">
        <f ca="1">IF($D47="","",INDEX('Start List'!R$15:R$139,MATCH($D47,'Start List'!$B$15:$B$139,0)))</f>
        <v/>
      </c>
      <c r="V47" s="80" t="str">
        <f ca="1">IF($D47="","",INDEX('Start List'!S$15:S$139,MATCH($D47,'Start List'!$B$15:$B$139,0)))</f>
        <v/>
      </c>
      <c r="W47" s="80" t="str">
        <f ca="1">IF($D47="","",INDEX('Start List'!T$15:T$139,MATCH($D47,'Start List'!$B$15:$B$139,0)))</f>
        <v/>
      </c>
      <c r="X47" s="80" t="str">
        <f ca="1">IF($D47="","",INDEX('Start List'!U$15:U$139,MATCH($D47,'Start List'!$B$15:$B$139,0)))</f>
        <v/>
      </c>
      <c r="Y47" s="80" t="str">
        <f ca="1">IF($D47="","",INDEX('Start List'!V$15:V$139,MATCH($D47,'Start List'!$B$15:$B$139,0)))</f>
        <v/>
      </c>
      <c r="Z47" s="80" t="str">
        <f ca="1">IF($D47="","",INDEX('Start List'!W$15:W$139,MATCH($D47,'Start List'!$B$15:$B$139,0)))</f>
        <v/>
      </c>
      <c r="AA47" s="80" t="str">
        <f ca="1">IF($D47="","",INDEX('Start List'!X$15:X$139,MATCH($D47,'Start List'!$B$15:$B$139,0)))</f>
        <v/>
      </c>
      <c r="AB47" s="80" t="str">
        <f ca="1">IF($D47="","",INDEX('Start List'!Y$15:Y$139,MATCH($D47,'Start List'!$B$15:$B$139,0)))</f>
        <v/>
      </c>
    </row>
    <row r="48" spans="1:28" ht="12.75" customHeight="1" x14ac:dyDescent="0.2">
      <c r="A48" s="59" t="str">
        <f>IF(OR(COUNT('Start List'!A:A)+COUNTIF('Start List'!$I$9:$I$14,"&lt;21")='By Category'!A47,A47=""),"",'By Category'!A47+1)</f>
        <v/>
      </c>
      <c r="B48" s="74" t="str">
        <f>IF(A48="","",VLOOKUP(SMALL('Start List'!$I$9:$I$139,A48),'Start List'!$I$9:$J$14,2,FALSE))</f>
        <v/>
      </c>
      <c r="C48" s="75" t="str">
        <f>IF(OR(B48="",COUNTIF($B$9:B48,B48)=1),"",COUNTIF($B$9:B48,B48)-1)</f>
        <v/>
      </c>
      <c r="D48" s="227" t="str">
        <f ca="1">IF(""=C48,"",LARGE(INDIRECT(VLOOKUP(B48,'Start List'!$J$9:$N$14,5,FALSE)),C48))</f>
        <v/>
      </c>
      <c r="E48" s="79" t="str">
        <f>IF(C48="","",VLOOKUP(B48,Data!$AK$2:$AN$7,4,FALSE)&amp;C48)</f>
        <v/>
      </c>
      <c r="F48" s="80" t="str">
        <f>IF(COUNTIF(Data!$D$2:$D$97,'By Category'!$E48)=0,"",VLOOKUP('By Category'!$E48,Data!$D$2:$H$97,'By Category'!F$8,FALSE))</f>
        <v/>
      </c>
      <c r="G48" s="80" t="str">
        <f>IF(COUNTIF(Data!$D$2:$D$97,'By Category'!$E48)=0,"",VLOOKUP('By Category'!$E48,Data!$D$2:$H$97,'By Category'!G$8,FALSE))</f>
        <v/>
      </c>
      <c r="H48" s="80" t="str">
        <f>IF(COUNTIF(Data!$D$2:$D$97,'By Category'!$E48)=0,"",VLOOKUP('By Category'!$E48,Data!$D$2:$H$97,'By Category'!H$8,FALSE))</f>
        <v/>
      </c>
      <c r="I48" s="80" t="str">
        <f>IF(COUNTIF(Data!$D$2:$D$97,'By Category'!$E48)=0,"",VLOOKUP('By Category'!$E48,Data!$D$2:$H$97,'By Category'!I$8,FALSE))</f>
        <v/>
      </c>
      <c r="J48" s="77" t="str">
        <f ca="1">IF(B48&lt;&gt;B47,B48,IF($D48="","",INDEX('Start List'!$D$15:$D$139,MATCH($D48,'Start List'!$B$15:$B$139,0))))</f>
        <v/>
      </c>
      <c r="K48" s="77" t="str">
        <f ca="1">IF($D48="","",INDEX('Start List'!$E$15:$E$139,MATCH($D48,'Start List'!$B$15:$B$139,0)))</f>
        <v/>
      </c>
      <c r="L48" s="77" t="str">
        <f ca="1">IF($D48="","",INDEX('Start List'!$H$15:$H$139,MATCH($D48,'Start List'!$B$15:$B$139,0)))</f>
        <v/>
      </c>
      <c r="M48" s="79" t="str">
        <f ca="1">IF($D48="","",INDEX('Start List'!$F$15:$F$139,MATCH($D48,'Start List'!$B$15:$B$139,0)))</f>
        <v/>
      </c>
      <c r="N48" s="80" t="str">
        <f ca="1">IF($D48="","",INDEX('Start List'!K$15:K$139,MATCH($D48,'Start List'!$B$15:$B$139,0)))</f>
        <v/>
      </c>
      <c r="O48" s="80" t="str">
        <f ca="1">IF($D48="","",INDEX('Start List'!L$15:L$139,MATCH($D48,'Start List'!$B$15:$B$139,0)))</f>
        <v/>
      </c>
      <c r="P48" s="80" t="str">
        <f ca="1">IF($D48="","",INDEX('Start List'!M$15:M$139,MATCH($D48,'Start List'!$B$15:$B$139,0)))</f>
        <v/>
      </c>
      <c r="Q48" s="80" t="str">
        <f ca="1">IF($D48="","",INDEX('Start List'!N$15:N$139,MATCH($D48,'Start List'!$B$15:$B$139,0)))</f>
        <v/>
      </c>
      <c r="R48" s="80" t="str">
        <f ca="1">IF($D48="","",INDEX('Start List'!O$15:O$139,MATCH($D48,'Start List'!$B$15:$B$139,0)))</f>
        <v/>
      </c>
      <c r="S48" s="80" t="str">
        <f ca="1">IF($D48="","",INDEX('Start List'!P$15:P$139,MATCH($D48,'Start List'!$B$15:$B$139,0)))</f>
        <v/>
      </c>
      <c r="T48" s="80" t="str">
        <f ca="1">IF($D48="","",INDEX('Start List'!Q$15:Q$139,MATCH($D48,'Start List'!$B$15:$B$139,0)))</f>
        <v/>
      </c>
      <c r="U48" s="80" t="str">
        <f ca="1">IF($D48="","",INDEX('Start List'!R$15:R$139,MATCH($D48,'Start List'!$B$15:$B$139,0)))</f>
        <v/>
      </c>
      <c r="V48" s="80" t="str">
        <f ca="1">IF($D48="","",INDEX('Start List'!S$15:S$139,MATCH($D48,'Start List'!$B$15:$B$139,0)))</f>
        <v/>
      </c>
      <c r="W48" s="80" t="str">
        <f ca="1">IF($D48="","",INDEX('Start List'!T$15:T$139,MATCH($D48,'Start List'!$B$15:$B$139,0)))</f>
        <v/>
      </c>
      <c r="X48" s="80" t="str">
        <f ca="1">IF($D48="","",INDEX('Start List'!U$15:U$139,MATCH($D48,'Start List'!$B$15:$B$139,0)))</f>
        <v/>
      </c>
      <c r="Y48" s="80" t="str">
        <f ca="1">IF($D48="","",INDEX('Start List'!V$15:V$139,MATCH($D48,'Start List'!$B$15:$B$139,0)))</f>
        <v/>
      </c>
      <c r="Z48" s="80" t="str">
        <f ca="1">IF($D48="","",INDEX('Start List'!W$15:W$139,MATCH($D48,'Start List'!$B$15:$B$139,0)))</f>
        <v/>
      </c>
      <c r="AA48" s="80" t="str">
        <f ca="1">IF($D48="","",INDEX('Start List'!X$15:X$139,MATCH($D48,'Start List'!$B$15:$B$139,0)))</f>
        <v/>
      </c>
      <c r="AB48" s="80" t="str">
        <f ca="1">IF($D48="","",INDEX('Start List'!Y$15:Y$139,MATCH($D48,'Start List'!$B$15:$B$139,0)))</f>
        <v/>
      </c>
    </row>
    <row r="49" spans="1:28" s="78" customFormat="1" ht="12.75" customHeight="1" x14ac:dyDescent="0.2">
      <c r="A49" s="59" t="str">
        <f>IF(OR(COUNT('Start List'!A:A)+COUNTIF('Start List'!$I$9:$I$14,"&lt;21")='By Category'!A48,A48=""),"",'By Category'!A48+1)</f>
        <v/>
      </c>
      <c r="B49" s="74" t="str">
        <f>IF(A49="","",VLOOKUP(SMALL('Start List'!$I$9:$I$139,A49),'Start List'!$I$9:$J$14,2,FALSE))</f>
        <v/>
      </c>
      <c r="C49" s="75" t="str">
        <f>IF(OR(B49="",COUNTIF($B$9:B49,B49)=1),"",COUNTIF($B$9:B49,B49)-1)</f>
        <v/>
      </c>
      <c r="D49" s="227" t="str">
        <f ca="1">IF(""=C49,"",LARGE(INDIRECT(VLOOKUP(B49,'Start List'!$J$9:$N$14,5,FALSE)),C49))</f>
        <v/>
      </c>
      <c r="E49" s="79" t="str">
        <f>IF(C49="","",VLOOKUP(B49,Data!$AK$2:$AN$7,4,FALSE)&amp;C49)</f>
        <v/>
      </c>
      <c r="F49" s="80" t="str">
        <f>IF(COUNTIF(Data!$D$2:$D$97,'By Category'!$E49)=0,"",VLOOKUP('By Category'!$E49,Data!$D$2:$H$97,'By Category'!F$8,FALSE))</f>
        <v/>
      </c>
      <c r="G49" s="80" t="str">
        <f>IF(COUNTIF(Data!$D$2:$D$97,'By Category'!$E49)=0,"",VLOOKUP('By Category'!$E49,Data!$D$2:$H$97,'By Category'!G$8,FALSE))</f>
        <v/>
      </c>
      <c r="H49" s="80" t="str">
        <f>IF(COUNTIF(Data!$D$2:$D$97,'By Category'!$E49)=0,"",VLOOKUP('By Category'!$E49,Data!$D$2:$H$97,'By Category'!H$8,FALSE))</f>
        <v/>
      </c>
      <c r="I49" s="80" t="str">
        <f>IF(COUNTIF(Data!$D$2:$D$97,'By Category'!$E49)=0,"",VLOOKUP('By Category'!$E49,Data!$D$2:$H$97,'By Category'!I$8,FALSE))</f>
        <v/>
      </c>
      <c r="J49" s="77" t="str">
        <f ca="1">IF(B49&lt;&gt;B48,B49,IF($D49="","",INDEX('Start List'!$D$15:$D$139,MATCH($D49,'Start List'!$B$15:$B$139,0))))</f>
        <v/>
      </c>
      <c r="K49" s="77" t="str">
        <f ca="1">IF($D49="","",INDEX('Start List'!$E$15:$E$139,MATCH($D49,'Start List'!$B$15:$B$139,0)))</f>
        <v/>
      </c>
      <c r="L49" s="77" t="str">
        <f ca="1">IF($D49="","",INDEX('Start List'!$H$15:$H$139,MATCH($D49,'Start List'!$B$15:$B$139,0)))</f>
        <v/>
      </c>
      <c r="M49" s="79" t="str">
        <f ca="1">IF($D49="","",INDEX('Start List'!$F$15:$F$139,MATCH($D49,'Start List'!$B$15:$B$139,0)))</f>
        <v/>
      </c>
      <c r="N49" s="80" t="str">
        <f ca="1">IF($D49="","",INDEX('Start List'!K$15:K$139,MATCH($D49,'Start List'!$B$15:$B$139,0)))</f>
        <v/>
      </c>
      <c r="O49" s="80" t="str">
        <f ca="1">IF($D49="","",INDEX('Start List'!L$15:L$139,MATCH($D49,'Start List'!$B$15:$B$139,0)))</f>
        <v/>
      </c>
      <c r="P49" s="80" t="str">
        <f ca="1">IF($D49="","",INDEX('Start List'!M$15:M$139,MATCH($D49,'Start List'!$B$15:$B$139,0)))</f>
        <v/>
      </c>
      <c r="Q49" s="80" t="str">
        <f ca="1">IF($D49="","",INDEX('Start List'!N$15:N$139,MATCH($D49,'Start List'!$B$15:$B$139,0)))</f>
        <v/>
      </c>
      <c r="R49" s="80" t="str">
        <f ca="1">IF($D49="","",INDEX('Start List'!O$15:O$139,MATCH($D49,'Start List'!$B$15:$B$139,0)))</f>
        <v/>
      </c>
      <c r="S49" s="80" t="str">
        <f ca="1">IF($D49="","",INDEX('Start List'!P$15:P$139,MATCH($D49,'Start List'!$B$15:$B$139,0)))</f>
        <v/>
      </c>
      <c r="T49" s="80" t="str">
        <f ca="1">IF($D49="","",INDEX('Start List'!Q$15:Q$139,MATCH($D49,'Start List'!$B$15:$B$139,0)))</f>
        <v/>
      </c>
      <c r="U49" s="80" t="str">
        <f ca="1">IF($D49="","",INDEX('Start List'!R$15:R$139,MATCH($D49,'Start List'!$B$15:$B$139,0)))</f>
        <v/>
      </c>
      <c r="V49" s="80" t="str">
        <f ca="1">IF($D49="","",INDEX('Start List'!S$15:S$139,MATCH($D49,'Start List'!$B$15:$B$139,0)))</f>
        <v/>
      </c>
      <c r="W49" s="80" t="str">
        <f ca="1">IF($D49="","",INDEX('Start List'!T$15:T$139,MATCH($D49,'Start List'!$B$15:$B$139,0)))</f>
        <v/>
      </c>
      <c r="X49" s="80" t="str">
        <f ca="1">IF($D49="","",INDEX('Start List'!U$15:U$139,MATCH($D49,'Start List'!$B$15:$B$139,0)))</f>
        <v/>
      </c>
      <c r="Y49" s="80" t="str">
        <f ca="1">IF($D49="","",INDEX('Start List'!V$15:V$139,MATCH($D49,'Start List'!$B$15:$B$139,0)))</f>
        <v/>
      </c>
      <c r="Z49" s="80" t="str">
        <f ca="1">IF($D49="","",INDEX('Start List'!W$15:W$139,MATCH($D49,'Start List'!$B$15:$B$139,0)))</f>
        <v/>
      </c>
      <c r="AA49" s="80" t="str">
        <f ca="1">IF($D49="","",INDEX('Start List'!X$15:X$139,MATCH($D49,'Start List'!$B$15:$B$139,0)))</f>
        <v/>
      </c>
      <c r="AB49" s="80" t="str">
        <f ca="1">IF($D49="","",INDEX('Start List'!Y$15:Y$139,MATCH($D49,'Start List'!$B$15:$B$139,0)))</f>
        <v/>
      </c>
    </row>
    <row r="50" spans="1:28" ht="12.75" customHeight="1" x14ac:dyDescent="0.2">
      <c r="A50" s="59" t="str">
        <f>IF(OR(COUNT('Start List'!A:A)+COUNTIF('Start List'!$I$9:$I$14,"&lt;21")='By Category'!A49,A49=""),"",'By Category'!A49+1)</f>
        <v/>
      </c>
      <c r="B50" s="74" t="str">
        <f>IF(A50="","",VLOOKUP(SMALL('Start List'!$I$9:$I$139,A50),'Start List'!$I$9:$J$14,2,FALSE))</f>
        <v/>
      </c>
      <c r="C50" s="75" t="str">
        <f>IF(OR(B50="",COUNTIF($B$9:B50,B50)=1),"",COUNTIF($B$9:B50,B50)-1)</f>
        <v/>
      </c>
      <c r="D50" s="227" t="str">
        <f ca="1">IF(""=C50,"",LARGE(INDIRECT(VLOOKUP(B50,'Start List'!$J$9:$N$14,5,FALSE)),C50))</f>
        <v/>
      </c>
      <c r="E50" s="79" t="str">
        <f>IF(C50="","",VLOOKUP(B50,Data!$AK$2:$AN$7,4,FALSE)&amp;C50)</f>
        <v/>
      </c>
      <c r="F50" s="80" t="str">
        <f>IF(COUNTIF(Data!$D$2:$D$97,'By Category'!$E50)=0,"",VLOOKUP('By Category'!$E50,Data!$D$2:$H$97,'By Category'!F$8,FALSE))</f>
        <v/>
      </c>
      <c r="G50" s="80" t="str">
        <f>IF(COUNTIF(Data!$D$2:$D$97,'By Category'!$E50)=0,"",VLOOKUP('By Category'!$E50,Data!$D$2:$H$97,'By Category'!G$8,FALSE))</f>
        <v/>
      </c>
      <c r="H50" s="80" t="str">
        <f>IF(COUNTIF(Data!$D$2:$D$97,'By Category'!$E50)=0,"",VLOOKUP('By Category'!$E50,Data!$D$2:$H$97,'By Category'!H$8,FALSE))</f>
        <v/>
      </c>
      <c r="I50" s="80" t="str">
        <f>IF(COUNTIF(Data!$D$2:$D$97,'By Category'!$E50)=0,"",VLOOKUP('By Category'!$E50,Data!$D$2:$H$97,'By Category'!I$8,FALSE))</f>
        <v/>
      </c>
      <c r="J50" s="77" t="str">
        <f ca="1">IF(B50&lt;&gt;B49,B50,IF($D50="","",INDEX('Start List'!$D$15:$D$139,MATCH($D50,'Start List'!$B$15:$B$139,0))))</f>
        <v/>
      </c>
      <c r="K50" s="77" t="str">
        <f ca="1">IF($D50="","",INDEX('Start List'!$E$15:$E$139,MATCH($D50,'Start List'!$B$15:$B$139,0)))</f>
        <v/>
      </c>
      <c r="L50" s="77" t="str">
        <f ca="1">IF($D50="","",INDEX('Start List'!$H$15:$H$139,MATCH($D50,'Start List'!$B$15:$B$139,0)))</f>
        <v/>
      </c>
      <c r="M50" s="79" t="str">
        <f ca="1">IF($D50="","",INDEX('Start List'!$F$15:$F$139,MATCH($D50,'Start List'!$B$15:$B$139,0)))</f>
        <v/>
      </c>
      <c r="N50" s="80" t="str">
        <f ca="1">IF($D50="","",INDEX('Start List'!K$15:K$139,MATCH($D50,'Start List'!$B$15:$B$139,0)))</f>
        <v/>
      </c>
      <c r="O50" s="80" t="str">
        <f ca="1">IF($D50="","",INDEX('Start List'!L$15:L$139,MATCH($D50,'Start List'!$B$15:$B$139,0)))</f>
        <v/>
      </c>
      <c r="P50" s="80" t="str">
        <f ca="1">IF($D50="","",INDEX('Start List'!M$15:M$139,MATCH($D50,'Start List'!$B$15:$B$139,0)))</f>
        <v/>
      </c>
      <c r="Q50" s="80" t="str">
        <f ca="1">IF($D50="","",INDEX('Start List'!N$15:N$139,MATCH($D50,'Start List'!$B$15:$B$139,0)))</f>
        <v/>
      </c>
      <c r="R50" s="80" t="str">
        <f ca="1">IF($D50="","",INDEX('Start List'!O$15:O$139,MATCH($D50,'Start List'!$B$15:$B$139,0)))</f>
        <v/>
      </c>
      <c r="S50" s="80" t="str">
        <f ca="1">IF($D50="","",INDEX('Start List'!P$15:P$139,MATCH($D50,'Start List'!$B$15:$B$139,0)))</f>
        <v/>
      </c>
      <c r="T50" s="80" t="str">
        <f ca="1">IF($D50="","",INDEX('Start List'!Q$15:Q$139,MATCH($D50,'Start List'!$B$15:$B$139,0)))</f>
        <v/>
      </c>
      <c r="U50" s="80" t="str">
        <f ca="1">IF($D50="","",INDEX('Start List'!R$15:R$139,MATCH($D50,'Start List'!$B$15:$B$139,0)))</f>
        <v/>
      </c>
      <c r="V50" s="80" t="str">
        <f ca="1">IF($D50="","",INDEX('Start List'!S$15:S$139,MATCH($D50,'Start List'!$B$15:$B$139,0)))</f>
        <v/>
      </c>
      <c r="W50" s="80" t="str">
        <f ca="1">IF($D50="","",INDEX('Start List'!T$15:T$139,MATCH($D50,'Start List'!$B$15:$B$139,0)))</f>
        <v/>
      </c>
      <c r="X50" s="80" t="str">
        <f ca="1">IF($D50="","",INDEX('Start List'!U$15:U$139,MATCH($D50,'Start List'!$B$15:$B$139,0)))</f>
        <v/>
      </c>
      <c r="Y50" s="80" t="str">
        <f ca="1">IF($D50="","",INDEX('Start List'!V$15:V$139,MATCH($D50,'Start List'!$B$15:$B$139,0)))</f>
        <v/>
      </c>
      <c r="Z50" s="80" t="str">
        <f ca="1">IF($D50="","",INDEX('Start List'!W$15:W$139,MATCH($D50,'Start List'!$B$15:$B$139,0)))</f>
        <v/>
      </c>
      <c r="AA50" s="80" t="str">
        <f ca="1">IF($D50="","",INDEX('Start List'!X$15:X$139,MATCH($D50,'Start List'!$B$15:$B$139,0)))</f>
        <v/>
      </c>
      <c r="AB50" s="80" t="str">
        <f ca="1">IF($D50="","",INDEX('Start List'!Y$15:Y$139,MATCH($D50,'Start List'!$B$15:$B$139,0)))</f>
        <v/>
      </c>
    </row>
    <row r="51" spans="1:28" ht="12.75" customHeight="1" x14ac:dyDescent="0.2">
      <c r="A51" s="59" t="str">
        <f>IF(OR(COUNT('Start List'!A:A)+COUNTIF('Start List'!$I$9:$I$14,"&lt;21")='By Category'!A50,A50=""),"",'By Category'!A50+1)</f>
        <v/>
      </c>
      <c r="B51" s="74" t="str">
        <f>IF(A51="","",VLOOKUP(SMALL('Start List'!$I$9:$I$139,A51),'Start List'!$I$9:$J$14,2,FALSE))</f>
        <v/>
      </c>
      <c r="C51" s="75" t="str">
        <f>IF(OR(B51="",COUNTIF($B$9:B51,B51)=1),"",COUNTIF($B$9:B51,B51)-1)</f>
        <v/>
      </c>
      <c r="D51" s="227" t="str">
        <f ca="1">IF(""=C51,"",LARGE(INDIRECT(VLOOKUP(B51,'Start List'!$J$9:$N$14,5,FALSE)),C51))</f>
        <v/>
      </c>
      <c r="E51" s="79" t="str">
        <f>IF(C51="","",VLOOKUP(B51,Data!$AK$2:$AN$7,4,FALSE)&amp;C51)</f>
        <v/>
      </c>
      <c r="F51" s="80" t="str">
        <f>IF(COUNTIF(Data!$D$2:$D$97,'By Category'!$E51)=0,"",VLOOKUP('By Category'!$E51,Data!$D$2:$H$97,'By Category'!F$8,FALSE))</f>
        <v/>
      </c>
      <c r="G51" s="80" t="str">
        <f>IF(COUNTIF(Data!$D$2:$D$97,'By Category'!$E51)=0,"",VLOOKUP('By Category'!$E51,Data!$D$2:$H$97,'By Category'!G$8,FALSE))</f>
        <v/>
      </c>
      <c r="H51" s="80" t="str">
        <f>IF(COUNTIF(Data!$D$2:$D$97,'By Category'!$E51)=0,"",VLOOKUP('By Category'!$E51,Data!$D$2:$H$97,'By Category'!H$8,FALSE))</f>
        <v/>
      </c>
      <c r="I51" s="80" t="str">
        <f>IF(COUNTIF(Data!$D$2:$D$97,'By Category'!$E51)=0,"",VLOOKUP('By Category'!$E51,Data!$D$2:$H$97,'By Category'!I$8,FALSE))</f>
        <v/>
      </c>
      <c r="J51" s="77" t="str">
        <f ca="1">IF(B51&lt;&gt;B50,B51,IF($D51="","",INDEX('Start List'!$D$15:$D$139,MATCH($D51,'Start List'!$B$15:$B$139,0))))</f>
        <v/>
      </c>
      <c r="K51" s="77" t="str">
        <f ca="1">IF($D51="","",INDEX('Start List'!$E$15:$E$139,MATCH($D51,'Start List'!$B$15:$B$139,0)))</f>
        <v/>
      </c>
      <c r="L51" s="77" t="str">
        <f ca="1">IF($D51="","",INDEX('Start List'!$H$15:$H$139,MATCH($D51,'Start List'!$B$15:$B$139,0)))</f>
        <v/>
      </c>
      <c r="M51" s="79" t="str">
        <f ca="1">IF($D51="","",INDEX('Start List'!$F$15:$F$139,MATCH($D51,'Start List'!$B$15:$B$139,0)))</f>
        <v/>
      </c>
      <c r="N51" s="80" t="str">
        <f ca="1">IF($D51="","",INDEX('Start List'!K$15:K$139,MATCH($D51,'Start List'!$B$15:$B$139,0)))</f>
        <v/>
      </c>
      <c r="O51" s="80" t="str">
        <f ca="1">IF($D51="","",INDEX('Start List'!L$15:L$139,MATCH($D51,'Start List'!$B$15:$B$139,0)))</f>
        <v/>
      </c>
      <c r="P51" s="80" t="str">
        <f ca="1">IF($D51="","",INDEX('Start List'!M$15:M$139,MATCH($D51,'Start List'!$B$15:$B$139,0)))</f>
        <v/>
      </c>
      <c r="Q51" s="80" t="str">
        <f ca="1">IF($D51="","",INDEX('Start List'!N$15:N$139,MATCH($D51,'Start List'!$B$15:$B$139,0)))</f>
        <v/>
      </c>
      <c r="R51" s="80" t="str">
        <f ca="1">IF($D51="","",INDEX('Start List'!O$15:O$139,MATCH($D51,'Start List'!$B$15:$B$139,0)))</f>
        <v/>
      </c>
      <c r="S51" s="80" t="str">
        <f ca="1">IF($D51="","",INDEX('Start List'!P$15:P$139,MATCH($D51,'Start List'!$B$15:$B$139,0)))</f>
        <v/>
      </c>
      <c r="T51" s="80" t="str">
        <f ca="1">IF($D51="","",INDEX('Start List'!Q$15:Q$139,MATCH($D51,'Start List'!$B$15:$B$139,0)))</f>
        <v/>
      </c>
      <c r="U51" s="80" t="str">
        <f ca="1">IF($D51="","",INDEX('Start List'!R$15:R$139,MATCH($D51,'Start List'!$B$15:$B$139,0)))</f>
        <v/>
      </c>
      <c r="V51" s="80" t="str">
        <f ca="1">IF($D51="","",INDEX('Start List'!S$15:S$139,MATCH($D51,'Start List'!$B$15:$B$139,0)))</f>
        <v/>
      </c>
      <c r="W51" s="80" t="str">
        <f ca="1">IF($D51="","",INDEX('Start List'!T$15:T$139,MATCH($D51,'Start List'!$B$15:$B$139,0)))</f>
        <v/>
      </c>
      <c r="X51" s="80" t="str">
        <f ca="1">IF($D51="","",INDEX('Start List'!U$15:U$139,MATCH($D51,'Start List'!$B$15:$B$139,0)))</f>
        <v/>
      </c>
      <c r="Y51" s="80" t="str">
        <f ca="1">IF($D51="","",INDEX('Start List'!V$15:V$139,MATCH($D51,'Start List'!$B$15:$B$139,0)))</f>
        <v/>
      </c>
      <c r="Z51" s="80" t="str">
        <f ca="1">IF($D51="","",INDEX('Start List'!W$15:W$139,MATCH($D51,'Start List'!$B$15:$B$139,0)))</f>
        <v/>
      </c>
      <c r="AA51" s="80" t="str">
        <f ca="1">IF($D51="","",INDEX('Start List'!X$15:X$139,MATCH($D51,'Start List'!$B$15:$B$139,0)))</f>
        <v/>
      </c>
      <c r="AB51" s="80" t="str">
        <f ca="1">IF($D51="","",INDEX('Start List'!Y$15:Y$139,MATCH($D51,'Start List'!$B$15:$B$139,0)))</f>
        <v/>
      </c>
    </row>
    <row r="52" spans="1:28" ht="12.75" customHeight="1" x14ac:dyDescent="0.2">
      <c r="A52" s="59" t="str">
        <f>IF(OR(COUNT('Start List'!A:A)+COUNTIF('Start List'!$I$9:$I$14,"&lt;21")='By Category'!A51,A51=""),"",'By Category'!A51+1)</f>
        <v/>
      </c>
      <c r="B52" s="74" t="str">
        <f>IF(A52="","",VLOOKUP(SMALL('Start List'!$I$9:$I$139,A52),'Start List'!$I$9:$J$14,2,FALSE))</f>
        <v/>
      </c>
      <c r="C52" s="75" t="str">
        <f>IF(OR(B52="",COUNTIF($B$9:B52,B52)=1),"",COUNTIF($B$9:B52,B52)-1)</f>
        <v/>
      </c>
      <c r="D52" s="227" t="str">
        <f ca="1">IF(""=C52,"",LARGE(INDIRECT(VLOOKUP(B52,'Start List'!$J$9:$N$14,5,FALSE)),C52))</f>
        <v/>
      </c>
      <c r="E52" s="79" t="str">
        <f>IF(C52="","",VLOOKUP(B52,Data!$AK$2:$AN$7,4,FALSE)&amp;C52)</f>
        <v/>
      </c>
      <c r="F52" s="80" t="str">
        <f>IF(COUNTIF(Data!$D$2:$D$97,'By Category'!$E52)=0,"",VLOOKUP('By Category'!$E52,Data!$D$2:$H$97,'By Category'!F$8,FALSE))</f>
        <v/>
      </c>
      <c r="G52" s="80" t="str">
        <f>IF(COUNTIF(Data!$D$2:$D$97,'By Category'!$E52)=0,"",VLOOKUP('By Category'!$E52,Data!$D$2:$H$97,'By Category'!G$8,FALSE))</f>
        <v/>
      </c>
      <c r="H52" s="80" t="str">
        <f>IF(COUNTIF(Data!$D$2:$D$97,'By Category'!$E52)=0,"",VLOOKUP('By Category'!$E52,Data!$D$2:$H$97,'By Category'!H$8,FALSE))</f>
        <v/>
      </c>
      <c r="I52" s="80" t="str">
        <f>IF(COUNTIF(Data!$D$2:$D$97,'By Category'!$E52)=0,"",VLOOKUP('By Category'!$E52,Data!$D$2:$H$97,'By Category'!I$8,FALSE))</f>
        <v/>
      </c>
      <c r="J52" s="77" t="str">
        <f ca="1">IF(B52&lt;&gt;B51,B52,IF($D52="","",INDEX('Start List'!$D$15:$D$139,MATCH($D52,'Start List'!$B$15:$B$139,0))))</f>
        <v/>
      </c>
      <c r="K52" s="77" t="str">
        <f ca="1">IF($D52="","",INDEX('Start List'!$E$15:$E$139,MATCH($D52,'Start List'!$B$15:$B$139,0)))</f>
        <v/>
      </c>
      <c r="L52" s="77" t="str">
        <f ca="1">IF($D52="","",INDEX('Start List'!$H$15:$H$139,MATCH($D52,'Start List'!$B$15:$B$139,0)))</f>
        <v/>
      </c>
      <c r="M52" s="79" t="str">
        <f ca="1">IF($D52="","",INDEX('Start List'!$F$15:$F$139,MATCH($D52,'Start List'!$B$15:$B$139,0)))</f>
        <v/>
      </c>
      <c r="N52" s="80" t="str">
        <f ca="1">IF($D52="","",INDEX('Start List'!K$15:K$139,MATCH($D52,'Start List'!$B$15:$B$139,0)))</f>
        <v/>
      </c>
      <c r="O52" s="80" t="str">
        <f ca="1">IF($D52="","",INDEX('Start List'!L$15:L$139,MATCH($D52,'Start List'!$B$15:$B$139,0)))</f>
        <v/>
      </c>
      <c r="P52" s="80" t="str">
        <f ca="1">IF($D52="","",INDEX('Start List'!M$15:M$139,MATCH($D52,'Start List'!$B$15:$B$139,0)))</f>
        <v/>
      </c>
      <c r="Q52" s="80" t="str">
        <f ca="1">IF($D52="","",INDEX('Start List'!N$15:N$139,MATCH($D52,'Start List'!$B$15:$B$139,0)))</f>
        <v/>
      </c>
      <c r="R52" s="80" t="str">
        <f ca="1">IF($D52="","",INDEX('Start List'!O$15:O$139,MATCH($D52,'Start List'!$B$15:$B$139,0)))</f>
        <v/>
      </c>
      <c r="S52" s="80" t="str">
        <f ca="1">IF($D52="","",INDEX('Start List'!P$15:P$139,MATCH($D52,'Start List'!$B$15:$B$139,0)))</f>
        <v/>
      </c>
      <c r="T52" s="80" t="str">
        <f ca="1">IF($D52="","",INDEX('Start List'!Q$15:Q$139,MATCH($D52,'Start List'!$B$15:$B$139,0)))</f>
        <v/>
      </c>
      <c r="U52" s="80" t="str">
        <f ca="1">IF($D52="","",INDEX('Start List'!R$15:R$139,MATCH($D52,'Start List'!$B$15:$B$139,0)))</f>
        <v/>
      </c>
      <c r="V52" s="80" t="str">
        <f ca="1">IF($D52="","",INDEX('Start List'!S$15:S$139,MATCH($D52,'Start List'!$B$15:$B$139,0)))</f>
        <v/>
      </c>
      <c r="W52" s="80" t="str">
        <f ca="1">IF($D52="","",INDEX('Start List'!T$15:T$139,MATCH($D52,'Start List'!$B$15:$B$139,0)))</f>
        <v/>
      </c>
      <c r="X52" s="80" t="str">
        <f ca="1">IF($D52="","",INDEX('Start List'!U$15:U$139,MATCH($D52,'Start List'!$B$15:$B$139,0)))</f>
        <v/>
      </c>
      <c r="Y52" s="80" t="str">
        <f ca="1">IF($D52="","",INDEX('Start List'!V$15:V$139,MATCH($D52,'Start List'!$B$15:$B$139,0)))</f>
        <v/>
      </c>
      <c r="Z52" s="80" t="str">
        <f ca="1">IF($D52="","",INDEX('Start List'!W$15:W$139,MATCH($D52,'Start List'!$B$15:$B$139,0)))</f>
        <v/>
      </c>
      <c r="AA52" s="80" t="str">
        <f ca="1">IF($D52="","",INDEX('Start List'!X$15:X$139,MATCH($D52,'Start List'!$B$15:$B$139,0)))</f>
        <v/>
      </c>
      <c r="AB52" s="80" t="str">
        <f ca="1">IF($D52="","",INDEX('Start List'!Y$15:Y$139,MATCH($D52,'Start List'!$B$15:$B$139,0)))</f>
        <v/>
      </c>
    </row>
    <row r="53" spans="1:28" ht="12.75" customHeight="1" x14ac:dyDescent="0.2">
      <c r="A53" s="59" t="str">
        <f>IF(OR(COUNT('Start List'!A:A)+COUNTIF('Start List'!$I$9:$I$14,"&lt;21")='By Category'!A52,A52=""),"",'By Category'!A52+1)</f>
        <v/>
      </c>
      <c r="B53" s="74" t="str">
        <f>IF(A53="","",VLOOKUP(SMALL('Start List'!$I$9:$I$139,A53),'Start List'!$I$9:$J$14,2,FALSE))</f>
        <v/>
      </c>
      <c r="C53" s="75" t="str">
        <f>IF(OR(B53="",COUNTIF($B$9:B53,B53)=1),"",COUNTIF($B$9:B53,B53)-1)</f>
        <v/>
      </c>
      <c r="D53" s="227" t="str">
        <f ca="1">IF(""=C53,"",LARGE(INDIRECT(VLOOKUP(B53,'Start List'!$J$9:$N$14,5,FALSE)),C53))</f>
        <v/>
      </c>
      <c r="E53" s="79" t="str">
        <f>IF(C53="","",VLOOKUP(B53,Data!$AK$2:$AN$7,4,FALSE)&amp;C53)</f>
        <v/>
      </c>
      <c r="F53" s="80" t="str">
        <f>IF(COUNTIF(Data!$D$2:$D$97,'By Category'!$E53)=0,"",VLOOKUP('By Category'!$E53,Data!$D$2:$H$97,'By Category'!F$8,FALSE))</f>
        <v/>
      </c>
      <c r="G53" s="80" t="str">
        <f>IF(COUNTIF(Data!$D$2:$D$97,'By Category'!$E53)=0,"",VLOOKUP('By Category'!$E53,Data!$D$2:$H$97,'By Category'!G$8,FALSE))</f>
        <v/>
      </c>
      <c r="H53" s="80" t="str">
        <f>IF(COUNTIF(Data!$D$2:$D$97,'By Category'!$E53)=0,"",VLOOKUP('By Category'!$E53,Data!$D$2:$H$97,'By Category'!H$8,FALSE))</f>
        <v/>
      </c>
      <c r="I53" s="80" t="str">
        <f>IF(COUNTIF(Data!$D$2:$D$97,'By Category'!$E53)=0,"",VLOOKUP('By Category'!$E53,Data!$D$2:$H$97,'By Category'!I$8,FALSE))</f>
        <v/>
      </c>
      <c r="J53" s="77" t="str">
        <f ca="1">IF(B53&lt;&gt;B52,B53,IF($D53="","",INDEX('Start List'!$D$15:$D$139,MATCH($D53,'Start List'!$B$15:$B$139,0))))</f>
        <v/>
      </c>
      <c r="K53" s="77" t="str">
        <f ca="1">IF($D53="","",INDEX('Start List'!$E$15:$E$139,MATCH($D53,'Start List'!$B$15:$B$139,0)))</f>
        <v/>
      </c>
      <c r="L53" s="77" t="str">
        <f ca="1">IF($D53="","",INDEX('Start List'!$H$15:$H$139,MATCH($D53,'Start List'!$B$15:$B$139,0)))</f>
        <v/>
      </c>
      <c r="M53" s="79" t="str">
        <f ca="1">IF($D53="","",INDEX('Start List'!$F$15:$F$139,MATCH($D53,'Start List'!$B$15:$B$139,0)))</f>
        <v/>
      </c>
      <c r="N53" s="80" t="str">
        <f ca="1">IF($D53="","",INDEX('Start List'!K$15:K$139,MATCH($D53,'Start List'!$B$15:$B$139,0)))</f>
        <v/>
      </c>
      <c r="O53" s="80" t="str">
        <f ca="1">IF($D53="","",INDEX('Start List'!L$15:L$139,MATCH($D53,'Start List'!$B$15:$B$139,0)))</f>
        <v/>
      </c>
      <c r="P53" s="80" t="str">
        <f ca="1">IF($D53="","",INDEX('Start List'!M$15:M$139,MATCH($D53,'Start List'!$B$15:$B$139,0)))</f>
        <v/>
      </c>
      <c r="Q53" s="80" t="str">
        <f ca="1">IF($D53="","",INDEX('Start List'!N$15:N$139,MATCH($D53,'Start List'!$B$15:$B$139,0)))</f>
        <v/>
      </c>
      <c r="R53" s="80" t="str">
        <f ca="1">IF($D53="","",INDEX('Start List'!O$15:O$139,MATCH($D53,'Start List'!$B$15:$B$139,0)))</f>
        <v/>
      </c>
      <c r="S53" s="80" t="str">
        <f ca="1">IF($D53="","",INDEX('Start List'!P$15:P$139,MATCH($D53,'Start List'!$B$15:$B$139,0)))</f>
        <v/>
      </c>
      <c r="T53" s="80" t="str">
        <f ca="1">IF($D53="","",INDEX('Start List'!Q$15:Q$139,MATCH($D53,'Start List'!$B$15:$B$139,0)))</f>
        <v/>
      </c>
      <c r="U53" s="80" t="str">
        <f ca="1">IF($D53="","",INDEX('Start List'!R$15:R$139,MATCH($D53,'Start List'!$B$15:$B$139,0)))</f>
        <v/>
      </c>
      <c r="V53" s="80" t="str">
        <f ca="1">IF($D53="","",INDEX('Start List'!S$15:S$139,MATCH($D53,'Start List'!$B$15:$B$139,0)))</f>
        <v/>
      </c>
      <c r="W53" s="80" t="str">
        <f ca="1">IF($D53="","",INDEX('Start List'!T$15:T$139,MATCH($D53,'Start List'!$B$15:$B$139,0)))</f>
        <v/>
      </c>
      <c r="X53" s="80" t="str">
        <f ca="1">IF($D53="","",INDEX('Start List'!U$15:U$139,MATCH($D53,'Start List'!$B$15:$B$139,0)))</f>
        <v/>
      </c>
      <c r="Y53" s="80" t="str">
        <f ca="1">IF($D53="","",INDEX('Start List'!V$15:V$139,MATCH($D53,'Start List'!$B$15:$B$139,0)))</f>
        <v/>
      </c>
      <c r="Z53" s="80" t="str">
        <f ca="1">IF($D53="","",INDEX('Start List'!W$15:W$139,MATCH($D53,'Start List'!$B$15:$B$139,0)))</f>
        <v/>
      </c>
      <c r="AA53" s="80" t="str">
        <f ca="1">IF($D53="","",INDEX('Start List'!X$15:X$139,MATCH($D53,'Start List'!$B$15:$B$139,0)))</f>
        <v/>
      </c>
      <c r="AB53" s="80" t="str">
        <f ca="1">IF($D53="","",INDEX('Start List'!Y$15:Y$139,MATCH($D53,'Start List'!$B$15:$B$139,0)))</f>
        <v/>
      </c>
    </row>
    <row r="54" spans="1:28" ht="12.75" customHeight="1" x14ac:dyDescent="0.2">
      <c r="A54" s="59" t="str">
        <f>IF(OR(COUNT('Start List'!A:A)+COUNTIF('Start List'!$I$9:$I$14,"&lt;21")='By Category'!A53,A53=""),"",'By Category'!A53+1)</f>
        <v/>
      </c>
      <c r="B54" s="74" t="str">
        <f>IF(A54="","",VLOOKUP(SMALL('Start List'!$I$9:$I$139,A54),'Start List'!$I$9:$J$14,2,FALSE))</f>
        <v/>
      </c>
      <c r="C54" s="75" t="str">
        <f>IF(OR(B54="",COUNTIF($B$9:B54,B54)=1),"",COUNTIF($B$9:B54,B54)-1)</f>
        <v/>
      </c>
      <c r="D54" s="227" t="str">
        <f ca="1">IF(""=C54,"",LARGE(INDIRECT(VLOOKUP(B54,'Start List'!$J$9:$N$14,5,FALSE)),C54))</f>
        <v/>
      </c>
      <c r="E54" s="79" t="str">
        <f>IF(C54="","",VLOOKUP(B54,Data!$AK$2:$AN$7,4,FALSE)&amp;C54)</f>
        <v/>
      </c>
      <c r="F54" s="80" t="str">
        <f>IF(COUNTIF(Data!$D$2:$D$97,'By Category'!$E54)=0,"",VLOOKUP('By Category'!$E54,Data!$D$2:$H$97,'By Category'!F$8,FALSE))</f>
        <v/>
      </c>
      <c r="G54" s="80" t="str">
        <f>IF(COUNTIF(Data!$D$2:$D$97,'By Category'!$E54)=0,"",VLOOKUP('By Category'!$E54,Data!$D$2:$H$97,'By Category'!G$8,FALSE))</f>
        <v/>
      </c>
      <c r="H54" s="80" t="str">
        <f>IF(COUNTIF(Data!$D$2:$D$97,'By Category'!$E54)=0,"",VLOOKUP('By Category'!$E54,Data!$D$2:$H$97,'By Category'!H$8,FALSE))</f>
        <v/>
      </c>
      <c r="I54" s="80" t="str">
        <f>IF(COUNTIF(Data!$D$2:$D$97,'By Category'!$E54)=0,"",VLOOKUP('By Category'!$E54,Data!$D$2:$H$97,'By Category'!I$8,FALSE))</f>
        <v/>
      </c>
      <c r="J54" s="77" t="str">
        <f ca="1">IF(B54&lt;&gt;B53,B54,IF($D54="","",INDEX('Start List'!$D$15:$D$139,MATCH($D54,'Start List'!$B$15:$B$139,0))))</f>
        <v/>
      </c>
      <c r="K54" s="77" t="str">
        <f ca="1">IF($D54="","",INDEX('Start List'!$E$15:$E$139,MATCH($D54,'Start List'!$B$15:$B$139,0)))</f>
        <v/>
      </c>
      <c r="L54" s="77" t="str">
        <f ca="1">IF($D54="","",INDEX('Start List'!$H$15:$H$139,MATCH($D54,'Start List'!$B$15:$B$139,0)))</f>
        <v/>
      </c>
      <c r="M54" s="79" t="str">
        <f ca="1">IF($D54="","",INDEX('Start List'!$F$15:$F$139,MATCH($D54,'Start List'!$B$15:$B$139,0)))</f>
        <v/>
      </c>
      <c r="N54" s="80" t="str">
        <f ca="1">IF($D54="","",INDEX('Start List'!K$15:K$139,MATCH($D54,'Start List'!$B$15:$B$139,0)))</f>
        <v/>
      </c>
      <c r="O54" s="80" t="str">
        <f ca="1">IF($D54="","",INDEX('Start List'!L$15:L$139,MATCH($D54,'Start List'!$B$15:$B$139,0)))</f>
        <v/>
      </c>
      <c r="P54" s="80" t="str">
        <f ca="1">IF($D54="","",INDEX('Start List'!M$15:M$139,MATCH($D54,'Start List'!$B$15:$B$139,0)))</f>
        <v/>
      </c>
      <c r="Q54" s="80" t="str">
        <f ca="1">IF($D54="","",INDEX('Start List'!N$15:N$139,MATCH($D54,'Start List'!$B$15:$B$139,0)))</f>
        <v/>
      </c>
      <c r="R54" s="80" t="str">
        <f ca="1">IF($D54="","",INDEX('Start List'!O$15:O$139,MATCH($D54,'Start List'!$B$15:$B$139,0)))</f>
        <v/>
      </c>
      <c r="S54" s="80" t="str">
        <f ca="1">IF($D54="","",INDEX('Start List'!P$15:P$139,MATCH($D54,'Start List'!$B$15:$B$139,0)))</f>
        <v/>
      </c>
      <c r="T54" s="80" t="str">
        <f ca="1">IF($D54="","",INDEX('Start List'!Q$15:Q$139,MATCH($D54,'Start List'!$B$15:$B$139,0)))</f>
        <v/>
      </c>
      <c r="U54" s="80" t="str">
        <f ca="1">IF($D54="","",INDEX('Start List'!R$15:R$139,MATCH($D54,'Start List'!$B$15:$B$139,0)))</f>
        <v/>
      </c>
      <c r="V54" s="80" t="str">
        <f ca="1">IF($D54="","",INDEX('Start List'!S$15:S$139,MATCH($D54,'Start List'!$B$15:$B$139,0)))</f>
        <v/>
      </c>
      <c r="W54" s="80" t="str">
        <f ca="1">IF($D54="","",INDEX('Start List'!T$15:T$139,MATCH($D54,'Start List'!$B$15:$B$139,0)))</f>
        <v/>
      </c>
      <c r="X54" s="80" t="str">
        <f ca="1">IF($D54="","",INDEX('Start List'!U$15:U$139,MATCH($D54,'Start List'!$B$15:$B$139,0)))</f>
        <v/>
      </c>
      <c r="Y54" s="80" t="str">
        <f ca="1">IF($D54="","",INDEX('Start List'!V$15:V$139,MATCH($D54,'Start List'!$B$15:$B$139,0)))</f>
        <v/>
      </c>
      <c r="Z54" s="80" t="str">
        <f ca="1">IF($D54="","",INDEX('Start List'!W$15:W$139,MATCH($D54,'Start List'!$B$15:$B$139,0)))</f>
        <v/>
      </c>
      <c r="AA54" s="80" t="str">
        <f ca="1">IF($D54="","",INDEX('Start List'!X$15:X$139,MATCH($D54,'Start List'!$B$15:$B$139,0)))</f>
        <v/>
      </c>
      <c r="AB54" s="80" t="str">
        <f ca="1">IF($D54="","",INDEX('Start List'!Y$15:Y$139,MATCH($D54,'Start List'!$B$15:$B$139,0)))</f>
        <v/>
      </c>
    </row>
    <row r="55" spans="1:28" ht="12.75" customHeight="1" x14ac:dyDescent="0.2">
      <c r="A55" s="59" t="str">
        <f>IF(OR(COUNT('Start List'!A:A)+COUNTIF('Start List'!$I$9:$I$14,"&lt;21")='By Category'!A54,A54=""),"",'By Category'!A54+1)</f>
        <v/>
      </c>
      <c r="B55" s="74" t="str">
        <f>IF(A55="","",VLOOKUP(SMALL('Start List'!$I$9:$I$139,A55),'Start List'!$I$9:$J$14,2,FALSE))</f>
        <v/>
      </c>
      <c r="C55" s="75" t="str">
        <f>IF(OR(B55="",COUNTIF($B$9:B55,B55)=1),"",COUNTIF($B$9:B55,B55)-1)</f>
        <v/>
      </c>
      <c r="D55" s="227" t="str">
        <f ca="1">IF(""=C55,"",LARGE(INDIRECT(VLOOKUP(B55,'Start List'!$J$9:$N$14,5,FALSE)),C55))</f>
        <v/>
      </c>
      <c r="E55" s="79" t="str">
        <f>IF(C55="","",VLOOKUP(B55,Data!$AK$2:$AN$7,4,FALSE)&amp;C55)</f>
        <v/>
      </c>
      <c r="F55" s="80" t="str">
        <f>IF(COUNTIF(Data!$D$2:$D$97,'By Category'!$E55)=0,"",VLOOKUP('By Category'!$E55,Data!$D$2:$H$97,'By Category'!F$8,FALSE))</f>
        <v/>
      </c>
      <c r="G55" s="80" t="str">
        <f>IF(COUNTIF(Data!$D$2:$D$97,'By Category'!$E55)=0,"",VLOOKUP('By Category'!$E55,Data!$D$2:$H$97,'By Category'!G$8,FALSE))</f>
        <v/>
      </c>
      <c r="H55" s="80" t="str">
        <f>IF(COUNTIF(Data!$D$2:$D$97,'By Category'!$E55)=0,"",VLOOKUP('By Category'!$E55,Data!$D$2:$H$97,'By Category'!H$8,FALSE))</f>
        <v/>
      </c>
      <c r="I55" s="80" t="str">
        <f>IF(COUNTIF(Data!$D$2:$D$97,'By Category'!$E55)=0,"",VLOOKUP('By Category'!$E55,Data!$D$2:$H$97,'By Category'!I$8,FALSE))</f>
        <v/>
      </c>
      <c r="J55" s="77" t="str">
        <f ca="1">IF(B55&lt;&gt;B54,B55,IF($D55="","",INDEX('Start List'!$D$15:$D$139,MATCH($D55,'Start List'!$B$15:$B$139,0))))</f>
        <v/>
      </c>
      <c r="K55" s="77" t="str">
        <f ca="1">IF($D55="","",INDEX('Start List'!$E$15:$E$139,MATCH($D55,'Start List'!$B$15:$B$139,0)))</f>
        <v/>
      </c>
      <c r="L55" s="77" t="str">
        <f ca="1">IF($D55="","",INDEX('Start List'!$H$15:$H$139,MATCH($D55,'Start List'!$B$15:$B$139,0)))</f>
        <v/>
      </c>
      <c r="M55" s="79" t="str">
        <f ca="1">IF($D55="","",INDEX('Start List'!$F$15:$F$139,MATCH($D55,'Start List'!$B$15:$B$139,0)))</f>
        <v/>
      </c>
      <c r="N55" s="80" t="str">
        <f ca="1">IF($D55="","",INDEX('Start List'!K$15:K$139,MATCH($D55,'Start List'!$B$15:$B$139,0)))</f>
        <v/>
      </c>
      <c r="O55" s="80" t="str">
        <f ca="1">IF($D55="","",INDEX('Start List'!L$15:L$139,MATCH($D55,'Start List'!$B$15:$B$139,0)))</f>
        <v/>
      </c>
      <c r="P55" s="80" t="str">
        <f ca="1">IF($D55="","",INDEX('Start List'!M$15:M$139,MATCH($D55,'Start List'!$B$15:$B$139,0)))</f>
        <v/>
      </c>
      <c r="Q55" s="80" t="str">
        <f ca="1">IF($D55="","",INDEX('Start List'!N$15:N$139,MATCH($D55,'Start List'!$B$15:$B$139,0)))</f>
        <v/>
      </c>
      <c r="R55" s="80" t="str">
        <f ca="1">IF($D55="","",INDEX('Start List'!O$15:O$139,MATCH($D55,'Start List'!$B$15:$B$139,0)))</f>
        <v/>
      </c>
      <c r="S55" s="80" t="str">
        <f ca="1">IF($D55="","",INDEX('Start List'!P$15:P$139,MATCH($D55,'Start List'!$B$15:$B$139,0)))</f>
        <v/>
      </c>
      <c r="T55" s="80" t="str">
        <f ca="1">IF($D55="","",INDEX('Start List'!Q$15:Q$139,MATCH($D55,'Start List'!$B$15:$B$139,0)))</f>
        <v/>
      </c>
      <c r="U55" s="80" t="str">
        <f ca="1">IF($D55="","",INDEX('Start List'!R$15:R$139,MATCH($D55,'Start List'!$B$15:$B$139,0)))</f>
        <v/>
      </c>
      <c r="V55" s="80" t="str">
        <f ca="1">IF($D55="","",INDEX('Start List'!S$15:S$139,MATCH($D55,'Start List'!$B$15:$B$139,0)))</f>
        <v/>
      </c>
      <c r="W55" s="80" t="str">
        <f ca="1">IF($D55="","",INDEX('Start List'!T$15:T$139,MATCH($D55,'Start List'!$B$15:$B$139,0)))</f>
        <v/>
      </c>
      <c r="X55" s="80" t="str">
        <f ca="1">IF($D55="","",INDEX('Start List'!U$15:U$139,MATCH($D55,'Start List'!$B$15:$B$139,0)))</f>
        <v/>
      </c>
      <c r="Y55" s="80" t="str">
        <f ca="1">IF($D55="","",INDEX('Start List'!V$15:V$139,MATCH($D55,'Start List'!$B$15:$B$139,0)))</f>
        <v/>
      </c>
      <c r="Z55" s="80" t="str">
        <f ca="1">IF($D55="","",INDEX('Start List'!W$15:W$139,MATCH($D55,'Start List'!$B$15:$B$139,0)))</f>
        <v/>
      </c>
      <c r="AA55" s="80" t="str">
        <f ca="1">IF($D55="","",INDEX('Start List'!X$15:X$139,MATCH($D55,'Start List'!$B$15:$B$139,0)))</f>
        <v/>
      </c>
      <c r="AB55" s="80" t="str">
        <f ca="1">IF($D55="","",INDEX('Start List'!Y$15:Y$139,MATCH($D55,'Start List'!$B$15:$B$139,0)))</f>
        <v/>
      </c>
    </row>
    <row r="56" spans="1:28" ht="12.75" customHeight="1" x14ac:dyDescent="0.2">
      <c r="A56" s="59" t="str">
        <f>IF(OR(COUNT('Start List'!A:A)+COUNTIF('Start List'!$I$9:$I$14,"&lt;21")='By Category'!A55,A55=""),"",'By Category'!A55+1)</f>
        <v/>
      </c>
      <c r="B56" s="74" t="str">
        <f>IF(A56="","",VLOOKUP(SMALL('Start List'!$I$9:$I$139,A56),'Start List'!$I$9:$J$14,2,FALSE))</f>
        <v/>
      </c>
      <c r="C56" s="75" t="str">
        <f>IF(OR(B56="",COUNTIF($B$9:B56,B56)=1),"",COUNTIF($B$9:B56,B56)-1)</f>
        <v/>
      </c>
      <c r="D56" s="227" t="str">
        <f ca="1">IF(""=C56,"",LARGE(INDIRECT(VLOOKUP(B56,'Start List'!$J$9:$N$14,5,FALSE)),C56))</f>
        <v/>
      </c>
      <c r="E56" s="79" t="str">
        <f>IF(C56="","",VLOOKUP(B56,Data!$AK$2:$AN$7,4,FALSE)&amp;C56)</f>
        <v/>
      </c>
      <c r="F56" s="80" t="str">
        <f>IF(COUNTIF(Data!$D$2:$D$97,'By Category'!$E56)=0,"",VLOOKUP('By Category'!$E56,Data!$D$2:$H$97,'By Category'!F$8,FALSE))</f>
        <v/>
      </c>
      <c r="G56" s="80" t="str">
        <f>IF(COUNTIF(Data!$D$2:$D$97,'By Category'!$E56)=0,"",VLOOKUP('By Category'!$E56,Data!$D$2:$H$97,'By Category'!G$8,FALSE))</f>
        <v/>
      </c>
      <c r="H56" s="80" t="str">
        <f>IF(COUNTIF(Data!$D$2:$D$97,'By Category'!$E56)=0,"",VLOOKUP('By Category'!$E56,Data!$D$2:$H$97,'By Category'!H$8,FALSE))</f>
        <v/>
      </c>
      <c r="I56" s="80" t="str">
        <f>IF(COUNTIF(Data!$D$2:$D$97,'By Category'!$E56)=0,"",VLOOKUP('By Category'!$E56,Data!$D$2:$H$97,'By Category'!I$8,FALSE))</f>
        <v/>
      </c>
      <c r="J56" s="77" t="str">
        <f ca="1">IF(B56&lt;&gt;B55,B56,IF($D56="","",INDEX('Start List'!$D$15:$D$139,MATCH($D56,'Start List'!$B$15:$B$139,0))))</f>
        <v/>
      </c>
      <c r="K56" s="77" t="str">
        <f ca="1">IF($D56="","",INDEX('Start List'!$E$15:$E$139,MATCH($D56,'Start List'!$B$15:$B$139,0)))</f>
        <v/>
      </c>
      <c r="L56" s="77" t="str">
        <f ca="1">IF($D56="","",INDEX('Start List'!$H$15:$H$139,MATCH($D56,'Start List'!$B$15:$B$139,0)))</f>
        <v/>
      </c>
      <c r="M56" s="79" t="str">
        <f ca="1">IF($D56="","",INDEX('Start List'!$F$15:$F$139,MATCH($D56,'Start List'!$B$15:$B$139,0)))</f>
        <v/>
      </c>
      <c r="N56" s="80" t="str">
        <f ca="1">IF($D56="","",INDEX('Start List'!K$15:K$139,MATCH($D56,'Start List'!$B$15:$B$139,0)))</f>
        <v/>
      </c>
      <c r="O56" s="80" t="str">
        <f ca="1">IF($D56="","",INDEX('Start List'!L$15:L$139,MATCH($D56,'Start List'!$B$15:$B$139,0)))</f>
        <v/>
      </c>
      <c r="P56" s="80" t="str">
        <f ca="1">IF($D56="","",INDEX('Start List'!M$15:M$139,MATCH($D56,'Start List'!$B$15:$B$139,0)))</f>
        <v/>
      </c>
      <c r="Q56" s="80" t="str">
        <f ca="1">IF($D56="","",INDEX('Start List'!N$15:N$139,MATCH($D56,'Start List'!$B$15:$B$139,0)))</f>
        <v/>
      </c>
      <c r="R56" s="80" t="str">
        <f ca="1">IF($D56="","",INDEX('Start List'!O$15:O$139,MATCH($D56,'Start List'!$B$15:$B$139,0)))</f>
        <v/>
      </c>
      <c r="S56" s="80" t="str">
        <f ca="1">IF($D56="","",INDEX('Start List'!P$15:P$139,MATCH($D56,'Start List'!$B$15:$B$139,0)))</f>
        <v/>
      </c>
      <c r="T56" s="80" t="str">
        <f ca="1">IF($D56="","",INDEX('Start List'!Q$15:Q$139,MATCH($D56,'Start List'!$B$15:$B$139,0)))</f>
        <v/>
      </c>
      <c r="U56" s="80" t="str">
        <f ca="1">IF($D56="","",INDEX('Start List'!R$15:R$139,MATCH($D56,'Start List'!$B$15:$B$139,0)))</f>
        <v/>
      </c>
      <c r="V56" s="80" t="str">
        <f ca="1">IF($D56="","",INDEX('Start List'!S$15:S$139,MATCH($D56,'Start List'!$B$15:$B$139,0)))</f>
        <v/>
      </c>
      <c r="W56" s="80" t="str">
        <f ca="1">IF($D56="","",INDEX('Start List'!T$15:T$139,MATCH($D56,'Start List'!$B$15:$B$139,0)))</f>
        <v/>
      </c>
      <c r="X56" s="80" t="str">
        <f ca="1">IF($D56="","",INDEX('Start List'!U$15:U$139,MATCH($D56,'Start List'!$B$15:$B$139,0)))</f>
        <v/>
      </c>
      <c r="Y56" s="80" t="str">
        <f ca="1">IF($D56="","",INDEX('Start List'!V$15:V$139,MATCH($D56,'Start List'!$B$15:$B$139,0)))</f>
        <v/>
      </c>
      <c r="Z56" s="80" t="str">
        <f ca="1">IF($D56="","",INDEX('Start List'!W$15:W$139,MATCH($D56,'Start List'!$B$15:$B$139,0)))</f>
        <v/>
      </c>
      <c r="AA56" s="80" t="str">
        <f ca="1">IF($D56="","",INDEX('Start List'!X$15:X$139,MATCH($D56,'Start List'!$B$15:$B$139,0)))</f>
        <v/>
      </c>
      <c r="AB56" s="80" t="str">
        <f ca="1">IF($D56="","",INDEX('Start List'!Y$15:Y$139,MATCH($D56,'Start List'!$B$15:$B$139,0)))</f>
        <v/>
      </c>
    </row>
    <row r="57" spans="1:28" ht="12.75" customHeight="1" x14ac:dyDescent="0.2">
      <c r="A57" s="59" t="str">
        <f>IF(OR(COUNT('Start List'!A:A)+COUNTIF('Start List'!$I$9:$I$14,"&lt;21")='By Category'!A56,A56=""),"",'By Category'!A56+1)</f>
        <v/>
      </c>
      <c r="B57" s="74" t="str">
        <f>IF(A57="","",VLOOKUP(SMALL('Start List'!$I$9:$I$139,A57),'Start List'!$I$9:$J$14,2,FALSE))</f>
        <v/>
      </c>
      <c r="C57" s="75" t="str">
        <f>IF(OR(B57="",COUNTIF($B$9:B57,B57)=1),"",COUNTIF($B$9:B57,B57)-1)</f>
        <v/>
      </c>
      <c r="D57" s="227" t="str">
        <f ca="1">IF(""=C57,"",LARGE(INDIRECT(VLOOKUP(B57,'Start List'!$J$9:$N$14,5,FALSE)),C57))</f>
        <v/>
      </c>
      <c r="E57" s="79" t="str">
        <f>IF(C57="","",VLOOKUP(B57,Data!$AK$2:$AN$7,4,FALSE)&amp;C57)</f>
        <v/>
      </c>
      <c r="F57" s="80" t="str">
        <f>IF(COUNTIF(Data!$D$2:$D$97,'By Category'!$E57)=0,"",VLOOKUP('By Category'!$E57,Data!$D$2:$H$97,'By Category'!F$8,FALSE))</f>
        <v/>
      </c>
      <c r="G57" s="80" t="str">
        <f>IF(COUNTIF(Data!$D$2:$D$97,'By Category'!$E57)=0,"",VLOOKUP('By Category'!$E57,Data!$D$2:$H$97,'By Category'!G$8,FALSE))</f>
        <v/>
      </c>
      <c r="H57" s="80" t="str">
        <f>IF(COUNTIF(Data!$D$2:$D$97,'By Category'!$E57)=0,"",VLOOKUP('By Category'!$E57,Data!$D$2:$H$97,'By Category'!H$8,FALSE))</f>
        <v/>
      </c>
      <c r="I57" s="80" t="str">
        <f>IF(COUNTIF(Data!$D$2:$D$97,'By Category'!$E57)=0,"",VLOOKUP('By Category'!$E57,Data!$D$2:$H$97,'By Category'!I$8,FALSE))</f>
        <v/>
      </c>
      <c r="J57" s="77" t="str">
        <f ca="1">IF(B57&lt;&gt;B56,B57,IF($D57="","",INDEX('Start List'!$D$15:$D$139,MATCH($D57,'Start List'!$B$15:$B$139,0))))</f>
        <v/>
      </c>
      <c r="K57" s="77" t="str">
        <f ca="1">IF($D57="","",INDEX('Start List'!$E$15:$E$139,MATCH($D57,'Start List'!$B$15:$B$139,0)))</f>
        <v/>
      </c>
      <c r="L57" s="77" t="str">
        <f ca="1">IF($D57="","",INDEX('Start List'!$H$15:$H$139,MATCH($D57,'Start List'!$B$15:$B$139,0)))</f>
        <v/>
      </c>
      <c r="M57" s="79" t="str">
        <f ca="1">IF($D57="","",INDEX('Start List'!$F$15:$F$139,MATCH($D57,'Start List'!$B$15:$B$139,0)))</f>
        <v/>
      </c>
      <c r="N57" s="80" t="str">
        <f ca="1">IF($D57="","",INDEX('Start List'!K$15:K$139,MATCH($D57,'Start List'!$B$15:$B$139,0)))</f>
        <v/>
      </c>
      <c r="O57" s="80" t="str">
        <f ca="1">IF($D57="","",INDEX('Start List'!L$15:L$139,MATCH($D57,'Start List'!$B$15:$B$139,0)))</f>
        <v/>
      </c>
      <c r="P57" s="80" t="str">
        <f ca="1">IF($D57="","",INDEX('Start List'!M$15:M$139,MATCH($D57,'Start List'!$B$15:$B$139,0)))</f>
        <v/>
      </c>
      <c r="Q57" s="80" t="str">
        <f ca="1">IF($D57="","",INDEX('Start List'!N$15:N$139,MATCH($D57,'Start List'!$B$15:$B$139,0)))</f>
        <v/>
      </c>
      <c r="R57" s="80" t="str">
        <f ca="1">IF($D57="","",INDEX('Start List'!O$15:O$139,MATCH($D57,'Start List'!$B$15:$B$139,0)))</f>
        <v/>
      </c>
      <c r="S57" s="80" t="str">
        <f ca="1">IF($D57="","",INDEX('Start List'!P$15:P$139,MATCH($D57,'Start List'!$B$15:$B$139,0)))</f>
        <v/>
      </c>
      <c r="T57" s="80" t="str">
        <f ca="1">IF($D57="","",INDEX('Start List'!Q$15:Q$139,MATCH($D57,'Start List'!$B$15:$B$139,0)))</f>
        <v/>
      </c>
      <c r="U57" s="80" t="str">
        <f ca="1">IF($D57="","",INDEX('Start List'!R$15:R$139,MATCH($D57,'Start List'!$B$15:$B$139,0)))</f>
        <v/>
      </c>
      <c r="V57" s="80" t="str">
        <f ca="1">IF($D57="","",INDEX('Start List'!S$15:S$139,MATCH($D57,'Start List'!$B$15:$B$139,0)))</f>
        <v/>
      </c>
      <c r="W57" s="80" t="str">
        <f ca="1">IF($D57="","",INDEX('Start List'!T$15:T$139,MATCH($D57,'Start List'!$B$15:$B$139,0)))</f>
        <v/>
      </c>
      <c r="X57" s="80" t="str">
        <f ca="1">IF($D57="","",INDEX('Start List'!U$15:U$139,MATCH($D57,'Start List'!$B$15:$B$139,0)))</f>
        <v/>
      </c>
      <c r="Y57" s="80" t="str">
        <f ca="1">IF($D57="","",INDEX('Start List'!V$15:V$139,MATCH($D57,'Start List'!$B$15:$B$139,0)))</f>
        <v/>
      </c>
      <c r="Z57" s="80" t="str">
        <f ca="1">IF($D57="","",INDEX('Start List'!W$15:W$139,MATCH($D57,'Start List'!$B$15:$B$139,0)))</f>
        <v/>
      </c>
      <c r="AA57" s="80" t="str">
        <f ca="1">IF($D57="","",INDEX('Start List'!X$15:X$139,MATCH($D57,'Start List'!$B$15:$B$139,0)))</f>
        <v/>
      </c>
      <c r="AB57" s="80" t="str">
        <f ca="1">IF($D57="","",INDEX('Start List'!Y$15:Y$139,MATCH($D57,'Start List'!$B$15:$B$139,0)))</f>
        <v/>
      </c>
    </row>
    <row r="58" spans="1:28" ht="12.75" customHeight="1" x14ac:dyDescent="0.2">
      <c r="A58" s="59" t="str">
        <f>IF(OR(COUNT('Start List'!A:A)+COUNTIF('Start List'!$I$9:$I$14,"&lt;21")='By Category'!A57,A57=""),"",'By Category'!A57+1)</f>
        <v/>
      </c>
      <c r="B58" s="74" t="str">
        <f>IF(A58="","",VLOOKUP(SMALL('Start List'!$I$9:$I$139,A58),'Start List'!$I$9:$J$14,2,FALSE))</f>
        <v/>
      </c>
      <c r="C58" s="75" t="str">
        <f>IF(OR(B58="",COUNTIF($B$9:B58,B58)=1),"",COUNTIF($B$9:B58,B58)-1)</f>
        <v/>
      </c>
      <c r="D58" s="227" t="str">
        <f ca="1">IF(""=C58,"",LARGE(INDIRECT(VLOOKUP(B58,'Start List'!$J$9:$N$14,5,FALSE)),C58))</f>
        <v/>
      </c>
      <c r="E58" s="79" t="str">
        <f>IF(C58="","",VLOOKUP(B58,Data!$AK$2:$AN$7,4,FALSE)&amp;C58)</f>
        <v/>
      </c>
      <c r="F58" s="80" t="str">
        <f>IF(COUNTIF(Data!$D$2:$D$97,'By Category'!$E58)=0,"",VLOOKUP('By Category'!$E58,Data!$D$2:$H$97,'By Category'!F$8,FALSE))</f>
        <v/>
      </c>
      <c r="G58" s="80" t="str">
        <f>IF(COUNTIF(Data!$D$2:$D$97,'By Category'!$E58)=0,"",VLOOKUP('By Category'!$E58,Data!$D$2:$H$97,'By Category'!G$8,FALSE))</f>
        <v/>
      </c>
      <c r="H58" s="80" t="str">
        <f>IF(COUNTIF(Data!$D$2:$D$97,'By Category'!$E58)=0,"",VLOOKUP('By Category'!$E58,Data!$D$2:$H$97,'By Category'!H$8,FALSE))</f>
        <v/>
      </c>
      <c r="I58" s="80" t="str">
        <f>IF(COUNTIF(Data!$D$2:$D$97,'By Category'!$E58)=0,"",VLOOKUP('By Category'!$E58,Data!$D$2:$H$97,'By Category'!I$8,FALSE))</f>
        <v/>
      </c>
      <c r="J58" s="77" t="str">
        <f ca="1">IF(B58&lt;&gt;B57,B58,IF($D58="","",INDEX('Start List'!$D$15:$D$139,MATCH($D58,'Start List'!$B$15:$B$139,0))))</f>
        <v/>
      </c>
      <c r="K58" s="77" t="str">
        <f ca="1">IF($D58="","",INDEX('Start List'!$E$15:$E$139,MATCH($D58,'Start List'!$B$15:$B$139,0)))</f>
        <v/>
      </c>
      <c r="L58" s="77" t="str">
        <f ca="1">IF($D58="","",INDEX('Start List'!$H$15:$H$139,MATCH($D58,'Start List'!$B$15:$B$139,0)))</f>
        <v/>
      </c>
      <c r="M58" s="79" t="str">
        <f ca="1">IF($D58="","",INDEX('Start List'!$F$15:$F$139,MATCH($D58,'Start List'!$B$15:$B$139,0)))</f>
        <v/>
      </c>
      <c r="N58" s="80" t="str">
        <f ca="1">IF($D58="","",INDEX('Start List'!K$15:K$139,MATCH($D58,'Start List'!$B$15:$B$139,0)))</f>
        <v/>
      </c>
      <c r="O58" s="80" t="str">
        <f ca="1">IF($D58="","",INDEX('Start List'!L$15:L$139,MATCH($D58,'Start List'!$B$15:$B$139,0)))</f>
        <v/>
      </c>
      <c r="P58" s="80" t="str">
        <f ca="1">IF($D58="","",INDEX('Start List'!M$15:M$139,MATCH($D58,'Start List'!$B$15:$B$139,0)))</f>
        <v/>
      </c>
      <c r="Q58" s="80" t="str">
        <f ca="1">IF($D58="","",INDEX('Start List'!N$15:N$139,MATCH($D58,'Start List'!$B$15:$B$139,0)))</f>
        <v/>
      </c>
      <c r="R58" s="80" t="str">
        <f ca="1">IF($D58="","",INDEX('Start List'!O$15:O$139,MATCH($D58,'Start List'!$B$15:$B$139,0)))</f>
        <v/>
      </c>
      <c r="S58" s="80" t="str">
        <f ca="1">IF($D58="","",INDEX('Start List'!P$15:P$139,MATCH($D58,'Start List'!$B$15:$B$139,0)))</f>
        <v/>
      </c>
      <c r="T58" s="80" t="str">
        <f ca="1">IF($D58="","",INDEX('Start List'!Q$15:Q$139,MATCH($D58,'Start List'!$B$15:$B$139,0)))</f>
        <v/>
      </c>
      <c r="U58" s="80" t="str">
        <f ca="1">IF($D58="","",INDEX('Start List'!R$15:R$139,MATCH($D58,'Start List'!$B$15:$B$139,0)))</f>
        <v/>
      </c>
      <c r="V58" s="80" t="str">
        <f ca="1">IF($D58="","",INDEX('Start List'!S$15:S$139,MATCH($D58,'Start List'!$B$15:$B$139,0)))</f>
        <v/>
      </c>
      <c r="W58" s="80" t="str">
        <f ca="1">IF($D58="","",INDEX('Start List'!T$15:T$139,MATCH($D58,'Start List'!$B$15:$B$139,0)))</f>
        <v/>
      </c>
      <c r="X58" s="80" t="str">
        <f ca="1">IF($D58="","",INDEX('Start List'!U$15:U$139,MATCH($D58,'Start List'!$B$15:$B$139,0)))</f>
        <v/>
      </c>
      <c r="Y58" s="80" t="str">
        <f ca="1">IF($D58="","",INDEX('Start List'!V$15:V$139,MATCH($D58,'Start List'!$B$15:$B$139,0)))</f>
        <v/>
      </c>
      <c r="Z58" s="80" t="str">
        <f ca="1">IF($D58="","",INDEX('Start List'!W$15:W$139,MATCH($D58,'Start List'!$B$15:$B$139,0)))</f>
        <v/>
      </c>
      <c r="AA58" s="80" t="str">
        <f ca="1">IF($D58="","",INDEX('Start List'!X$15:X$139,MATCH($D58,'Start List'!$B$15:$B$139,0)))</f>
        <v/>
      </c>
      <c r="AB58" s="80" t="str">
        <f ca="1">IF($D58="","",INDEX('Start List'!Y$15:Y$139,MATCH($D58,'Start List'!$B$15:$B$139,0)))</f>
        <v/>
      </c>
    </row>
    <row r="59" spans="1:28" ht="12.75" customHeight="1" x14ac:dyDescent="0.2">
      <c r="A59" s="59" t="str">
        <f>IF(OR(COUNT('Start List'!A:A)+COUNTIF('Start List'!$I$9:$I$14,"&lt;21")='By Category'!A58,A58=""),"",'By Category'!A58+1)</f>
        <v/>
      </c>
      <c r="B59" s="74" t="str">
        <f>IF(A59="","",VLOOKUP(SMALL('Start List'!$I$9:$I$139,A59),'Start List'!$I$9:$J$14,2,FALSE))</f>
        <v/>
      </c>
      <c r="C59" s="75" t="str">
        <f>IF(OR(B59="",COUNTIF($B$9:B59,B59)=1),"",COUNTIF($B$9:B59,B59)-1)</f>
        <v/>
      </c>
      <c r="D59" s="227" t="str">
        <f ca="1">IF(""=C59,"",LARGE(INDIRECT(VLOOKUP(B59,'Start List'!$J$9:$N$14,5,FALSE)),C59))</f>
        <v/>
      </c>
      <c r="E59" s="79" t="str">
        <f>IF(C59="","",VLOOKUP(B59,Data!$AK$2:$AN$7,4,FALSE)&amp;C59)</f>
        <v/>
      </c>
      <c r="F59" s="80" t="str">
        <f>IF(COUNTIF(Data!$D$2:$D$97,'By Category'!$E59)=0,"",VLOOKUP('By Category'!$E59,Data!$D$2:$H$97,'By Category'!F$8,FALSE))</f>
        <v/>
      </c>
      <c r="G59" s="80" t="str">
        <f>IF(COUNTIF(Data!$D$2:$D$97,'By Category'!$E59)=0,"",VLOOKUP('By Category'!$E59,Data!$D$2:$H$97,'By Category'!G$8,FALSE))</f>
        <v/>
      </c>
      <c r="H59" s="80" t="str">
        <f>IF(COUNTIF(Data!$D$2:$D$97,'By Category'!$E59)=0,"",VLOOKUP('By Category'!$E59,Data!$D$2:$H$97,'By Category'!H$8,FALSE))</f>
        <v/>
      </c>
      <c r="I59" s="80" t="str">
        <f>IF(COUNTIF(Data!$D$2:$D$97,'By Category'!$E59)=0,"",VLOOKUP('By Category'!$E59,Data!$D$2:$H$97,'By Category'!I$8,FALSE))</f>
        <v/>
      </c>
      <c r="J59" s="77" t="str">
        <f ca="1">IF(B59&lt;&gt;B58,B59,IF($D59="","",INDEX('Start List'!$D$15:$D$139,MATCH($D59,'Start List'!$B$15:$B$139,0))))</f>
        <v/>
      </c>
      <c r="K59" s="77" t="str">
        <f ca="1">IF($D59="","",INDEX('Start List'!$E$15:$E$139,MATCH($D59,'Start List'!$B$15:$B$139,0)))</f>
        <v/>
      </c>
      <c r="L59" s="77" t="str">
        <f ca="1">IF($D59="","",INDEX('Start List'!$H$15:$H$139,MATCH($D59,'Start List'!$B$15:$B$139,0)))</f>
        <v/>
      </c>
      <c r="M59" s="79" t="str">
        <f ca="1">IF($D59="","",INDEX('Start List'!$F$15:$F$139,MATCH($D59,'Start List'!$B$15:$B$139,0)))</f>
        <v/>
      </c>
      <c r="N59" s="80" t="str">
        <f ca="1">IF($D59="","",INDEX('Start List'!K$15:K$139,MATCH($D59,'Start List'!$B$15:$B$139,0)))</f>
        <v/>
      </c>
      <c r="O59" s="80" t="str">
        <f ca="1">IF($D59="","",INDEX('Start List'!L$15:L$139,MATCH($D59,'Start List'!$B$15:$B$139,0)))</f>
        <v/>
      </c>
      <c r="P59" s="80" t="str">
        <f ca="1">IF($D59="","",INDEX('Start List'!M$15:M$139,MATCH($D59,'Start List'!$B$15:$B$139,0)))</f>
        <v/>
      </c>
      <c r="Q59" s="80" t="str">
        <f ca="1">IF($D59="","",INDEX('Start List'!N$15:N$139,MATCH($D59,'Start List'!$B$15:$B$139,0)))</f>
        <v/>
      </c>
      <c r="R59" s="80" t="str">
        <f ca="1">IF($D59="","",INDEX('Start List'!O$15:O$139,MATCH($D59,'Start List'!$B$15:$B$139,0)))</f>
        <v/>
      </c>
      <c r="S59" s="80" t="str">
        <f ca="1">IF($D59="","",INDEX('Start List'!P$15:P$139,MATCH($D59,'Start List'!$B$15:$B$139,0)))</f>
        <v/>
      </c>
      <c r="T59" s="80" t="str">
        <f ca="1">IF($D59="","",INDEX('Start List'!Q$15:Q$139,MATCH($D59,'Start List'!$B$15:$B$139,0)))</f>
        <v/>
      </c>
      <c r="U59" s="80" t="str">
        <f ca="1">IF($D59="","",INDEX('Start List'!R$15:R$139,MATCH($D59,'Start List'!$B$15:$B$139,0)))</f>
        <v/>
      </c>
      <c r="V59" s="80" t="str">
        <f ca="1">IF($D59="","",INDEX('Start List'!S$15:S$139,MATCH($D59,'Start List'!$B$15:$B$139,0)))</f>
        <v/>
      </c>
      <c r="W59" s="80" t="str">
        <f ca="1">IF($D59="","",INDEX('Start List'!T$15:T$139,MATCH($D59,'Start List'!$B$15:$B$139,0)))</f>
        <v/>
      </c>
      <c r="X59" s="80" t="str">
        <f ca="1">IF($D59="","",INDEX('Start List'!U$15:U$139,MATCH($D59,'Start List'!$B$15:$B$139,0)))</f>
        <v/>
      </c>
      <c r="Y59" s="80" t="str">
        <f ca="1">IF($D59="","",INDEX('Start List'!V$15:V$139,MATCH($D59,'Start List'!$B$15:$B$139,0)))</f>
        <v/>
      </c>
      <c r="Z59" s="80" t="str">
        <f ca="1">IF($D59="","",INDEX('Start List'!W$15:W$139,MATCH($D59,'Start List'!$B$15:$B$139,0)))</f>
        <v/>
      </c>
      <c r="AA59" s="80" t="str">
        <f ca="1">IF($D59="","",INDEX('Start List'!X$15:X$139,MATCH($D59,'Start List'!$B$15:$B$139,0)))</f>
        <v/>
      </c>
      <c r="AB59" s="80" t="str">
        <f ca="1">IF($D59="","",INDEX('Start List'!Y$15:Y$139,MATCH($D59,'Start List'!$B$15:$B$139,0)))</f>
        <v/>
      </c>
    </row>
    <row r="60" spans="1:28" ht="12.75" customHeight="1" x14ac:dyDescent="0.2">
      <c r="A60" s="59" t="str">
        <f>IF(OR(COUNT('Start List'!A:A)+COUNTIF('Start List'!$I$9:$I$14,"&lt;21")='By Category'!A59,A59=""),"",'By Category'!A59+1)</f>
        <v/>
      </c>
      <c r="B60" s="74" t="str">
        <f>IF(A60="","",VLOOKUP(SMALL('Start List'!$I$9:$I$139,A60),'Start List'!$I$9:$J$14,2,FALSE))</f>
        <v/>
      </c>
      <c r="C60" s="75" t="str">
        <f>IF(OR(B60="",COUNTIF($B$9:B60,B60)=1),"",COUNTIF($B$9:B60,B60)-1)</f>
        <v/>
      </c>
      <c r="D60" s="227" t="str">
        <f ca="1">IF(""=C60,"",LARGE(INDIRECT(VLOOKUP(B60,'Start List'!$J$9:$N$14,5,FALSE)),C60))</f>
        <v/>
      </c>
      <c r="E60" s="79" t="str">
        <f>IF(C60="","",VLOOKUP(B60,Data!$AK$2:$AN$7,4,FALSE)&amp;C60)</f>
        <v/>
      </c>
      <c r="F60" s="80" t="str">
        <f>IF(COUNTIF(Data!$D$2:$D$97,'By Category'!$E60)=0,"",VLOOKUP('By Category'!$E60,Data!$D$2:$H$97,'By Category'!F$8,FALSE))</f>
        <v/>
      </c>
      <c r="G60" s="80" t="str">
        <f>IF(COUNTIF(Data!$D$2:$D$97,'By Category'!$E60)=0,"",VLOOKUP('By Category'!$E60,Data!$D$2:$H$97,'By Category'!G$8,FALSE))</f>
        <v/>
      </c>
      <c r="H60" s="80" t="str">
        <f>IF(COUNTIF(Data!$D$2:$D$97,'By Category'!$E60)=0,"",VLOOKUP('By Category'!$E60,Data!$D$2:$H$97,'By Category'!H$8,FALSE))</f>
        <v/>
      </c>
      <c r="I60" s="80" t="str">
        <f>IF(COUNTIF(Data!$D$2:$D$97,'By Category'!$E60)=0,"",VLOOKUP('By Category'!$E60,Data!$D$2:$H$97,'By Category'!I$8,FALSE))</f>
        <v/>
      </c>
      <c r="J60" s="77" t="str">
        <f ca="1">IF(B60&lt;&gt;B59,B60,IF($D60="","",INDEX('Start List'!$D$15:$D$139,MATCH($D60,'Start List'!$B$15:$B$139,0))))</f>
        <v/>
      </c>
      <c r="K60" s="77" t="str">
        <f ca="1">IF($D60="","",INDEX('Start List'!$E$15:$E$139,MATCH($D60,'Start List'!$B$15:$B$139,0)))</f>
        <v/>
      </c>
      <c r="L60" s="77" t="str">
        <f ca="1">IF($D60="","",INDEX('Start List'!$H$15:$H$139,MATCH($D60,'Start List'!$B$15:$B$139,0)))</f>
        <v/>
      </c>
      <c r="M60" s="79" t="str">
        <f ca="1">IF($D60="","",INDEX('Start List'!$F$15:$F$139,MATCH($D60,'Start List'!$B$15:$B$139,0)))</f>
        <v/>
      </c>
      <c r="N60" s="80" t="str">
        <f ca="1">IF($D60="","",INDEX('Start List'!K$15:K$139,MATCH($D60,'Start List'!$B$15:$B$139,0)))</f>
        <v/>
      </c>
      <c r="O60" s="80" t="str">
        <f ca="1">IF($D60="","",INDEX('Start List'!L$15:L$139,MATCH($D60,'Start List'!$B$15:$B$139,0)))</f>
        <v/>
      </c>
      <c r="P60" s="80" t="str">
        <f ca="1">IF($D60="","",INDEX('Start List'!M$15:M$139,MATCH($D60,'Start List'!$B$15:$B$139,0)))</f>
        <v/>
      </c>
      <c r="Q60" s="80" t="str">
        <f ca="1">IF($D60="","",INDEX('Start List'!N$15:N$139,MATCH($D60,'Start List'!$B$15:$B$139,0)))</f>
        <v/>
      </c>
      <c r="R60" s="80" t="str">
        <f ca="1">IF($D60="","",INDEX('Start List'!O$15:O$139,MATCH($D60,'Start List'!$B$15:$B$139,0)))</f>
        <v/>
      </c>
      <c r="S60" s="80" t="str">
        <f ca="1">IF($D60="","",INDEX('Start List'!P$15:P$139,MATCH($D60,'Start List'!$B$15:$B$139,0)))</f>
        <v/>
      </c>
      <c r="T60" s="80" t="str">
        <f ca="1">IF($D60="","",INDEX('Start List'!Q$15:Q$139,MATCH($D60,'Start List'!$B$15:$B$139,0)))</f>
        <v/>
      </c>
      <c r="U60" s="80" t="str">
        <f ca="1">IF($D60="","",INDEX('Start List'!R$15:R$139,MATCH($D60,'Start List'!$B$15:$B$139,0)))</f>
        <v/>
      </c>
      <c r="V60" s="80" t="str">
        <f ca="1">IF($D60="","",INDEX('Start List'!S$15:S$139,MATCH($D60,'Start List'!$B$15:$B$139,0)))</f>
        <v/>
      </c>
      <c r="W60" s="80" t="str">
        <f ca="1">IF($D60="","",INDEX('Start List'!T$15:T$139,MATCH($D60,'Start List'!$B$15:$B$139,0)))</f>
        <v/>
      </c>
      <c r="X60" s="80" t="str">
        <f ca="1">IF($D60="","",INDEX('Start List'!U$15:U$139,MATCH($D60,'Start List'!$B$15:$B$139,0)))</f>
        <v/>
      </c>
      <c r="Y60" s="80" t="str">
        <f ca="1">IF($D60="","",INDEX('Start List'!V$15:V$139,MATCH($D60,'Start List'!$B$15:$B$139,0)))</f>
        <v/>
      </c>
      <c r="Z60" s="80" t="str">
        <f ca="1">IF($D60="","",INDEX('Start List'!W$15:W$139,MATCH($D60,'Start List'!$B$15:$B$139,0)))</f>
        <v/>
      </c>
      <c r="AA60" s="80" t="str">
        <f ca="1">IF($D60="","",INDEX('Start List'!X$15:X$139,MATCH($D60,'Start List'!$B$15:$B$139,0)))</f>
        <v/>
      </c>
      <c r="AB60" s="80" t="str">
        <f ca="1">IF($D60="","",INDEX('Start List'!Y$15:Y$139,MATCH($D60,'Start List'!$B$15:$B$139,0)))</f>
        <v/>
      </c>
    </row>
    <row r="61" spans="1:28" ht="12.75" customHeight="1" x14ac:dyDescent="0.2">
      <c r="A61" s="59" t="str">
        <f>IF(OR(COUNT('Start List'!A:A)+COUNTIF('Start List'!$I$9:$I$14,"&lt;21")='By Category'!A60,A60=""),"",'By Category'!A60+1)</f>
        <v/>
      </c>
      <c r="B61" s="74" t="str">
        <f>IF(A61="","",VLOOKUP(SMALL('Start List'!$I$9:$I$139,A61),'Start List'!$I$9:$J$14,2,FALSE))</f>
        <v/>
      </c>
      <c r="C61" s="75" t="str">
        <f>IF(OR(B61="",COUNTIF($B$9:B61,B61)=1),"",COUNTIF($B$9:B61,B61)-1)</f>
        <v/>
      </c>
      <c r="D61" s="227" t="str">
        <f ca="1">IF(""=C61,"",LARGE(INDIRECT(VLOOKUP(B61,'Start List'!$J$9:$N$14,5,FALSE)),C61))</f>
        <v/>
      </c>
      <c r="E61" s="79" t="str">
        <f>IF(C61="","",VLOOKUP(B61,Data!$AK$2:$AN$7,4,FALSE)&amp;C61)</f>
        <v/>
      </c>
      <c r="F61" s="80" t="str">
        <f>IF(COUNTIF(Data!$D$2:$D$97,'By Category'!$E61)=0,"",VLOOKUP('By Category'!$E61,Data!$D$2:$H$97,'By Category'!F$8,FALSE))</f>
        <v/>
      </c>
      <c r="G61" s="80" t="str">
        <f>IF(COUNTIF(Data!$D$2:$D$97,'By Category'!$E61)=0,"",VLOOKUP('By Category'!$E61,Data!$D$2:$H$97,'By Category'!G$8,FALSE))</f>
        <v/>
      </c>
      <c r="H61" s="80" t="str">
        <f>IF(COUNTIF(Data!$D$2:$D$97,'By Category'!$E61)=0,"",VLOOKUP('By Category'!$E61,Data!$D$2:$H$97,'By Category'!H$8,FALSE))</f>
        <v/>
      </c>
      <c r="I61" s="80" t="str">
        <f>IF(COUNTIF(Data!$D$2:$D$97,'By Category'!$E61)=0,"",VLOOKUP('By Category'!$E61,Data!$D$2:$H$97,'By Category'!I$8,FALSE))</f>
        <v/>
      </c>
      <c r="J61" s="77" t="str">
        <f ca="1">IF(B61&lt;&gt;B60,B61,IF($D61="","",INDEX('Start List'!$D$15:$D$139,MATCH($D61,'Start List'!$B$15:$B$139,0))))</f>
        <v/>
      </c>
      <c r="K61" s="77" t="str">
        <f ca="1">IF($D61="","",INDEX('Start List'!$E$15:$E$139,MATCH($D61,'Start List'!$B$15:$B$139,0)))</f>
        <v/>
      </c>
      <c r="L61" s="77" t="str">
        <f ca="1">IF($D61="","",INDEX('Start List'!$H$15:$H$139,MATCH($D61,'Start List'!$B$15:$B$139,0)))</f>
        <v/>
      </c>
      <c r="M61" s="79" t="str">
        <f ca="1">IF($D61="","",INDEX('Start List'!$F$15:$F$139,MATCH($D61,'Start List'!$B$15:$B$139,0)))</f>
        <v/>
      </c>
      <c r="N61" s="80" t="str">
        <f ca="1">IF($D61="","",INDEX('Start List'!K$15:K$139,MATCH($D61,'Start List'!$B$15:$B$139,0)))</f>
        <v/>
      </c>
      <c r="O61" s="80" t="str">
        <f ca="1">IF($D61="","",INDEX('Start List'!L$15:L$139,MATCH($D61,'Start List'!$B$15:$B$139,0)))</f>
        <v/>
      </c>
      <c r="P61" s="80" t="str">
        <f ca="1">IF($D61="","",INDEX('Start List'!M$15:M$139,MATCH($D61,'Start List'!$B$15:$B$139,0)))</f>
        <v/>
      </c>
      <c r="Q61" s="80" t="str">
        <f ca="1">IF($D61="","",INDEX('Start List'!N$15:N$139,MATCH($D61,'Start List'!$B$15:$B$139,0)))</f>
        <v/>
      </c>
      <c r="R61" s="80" t="str">
        <f ca="1">IF($D61="","",INDEX('Start List'!O$15:O$139,MATCH($D61,'Start List'!$B$15:$B$139,0)))</f>
        <v/>
      </c>
      <c r="S61" s="80" t="str">
        <f ca="1">IF($D61="","",INDEX('Start List'!P$15:P$139,MATCH($D61,'Start List'!$B$15:$B$139,0)))</f>
        <v/>
      </c>
      <c r="T61" s="80" t="str">
        <f ca="1">IF($D61="","",INDEX('Start List'!Q$15:Q$139,MATCH($D61,'Start List'!$B$15:$B$139,0)))</f>
        <v/>
      </c>
      <c r="U61" s="80" t="str">
        <f ca="1">IF($D61="","",INDEX('Start List'!R$15:R$139,MATCH($D61,'Start List'!$B$15:$B$139,0)))</f>
        <v/>
      </c>
      <c r="V61" s="80" t="str">
        <f ca="1">IF($D61="","",INDEX('Start List'!S$15:S$139,MATCH($D61,'Start List'!$B$15:$B$139,0)))</f>
        <v/>
      </c>
      <c r="W61" s="80" t="str">
        <f ca="1">IF($D61="","",INDEX('Start List'!T$15:T$139,MATCH($D61,'Start List'!$B$15:$B$139,0)))</f>
        <v/>
      </c>
      <c r="X61" s="80" t="str">
        <f ca="1">IF($D61="","",INDEX('Start List'!U$15:U$139,MATCH($D61,'Start List'!$B$15:$B$139,0)))</f>
        <v/>
      </c>
      <c r="Y61" s="80" t="str">
        <f ca="1">IF($D61="","",INDEX('Start List'!V$15:V$139,MATCH($D61,'Start List'!$B$15:$B$139,0)))</f>
        <v/>
      </c>
      <c r="Z61" s="80" t="str">
        <f ca="1">IF($D61="","",INDEX('Start List'!W$15:W$139,MATCH($D61,'Start List'!$B$15:$B$139,0)))</f>
        <v/>
      </c>
      <c r="AA61" s="80" t="str">
        <f ca="1">IF($D61="","",INDEX('Start List'!X$15:X$139,MATCH($D61,'Start List'!$B$15:$B$139,0)))</f>
        <v/>
      </c>
      <c r="AB61" s="80" t="str">
        <f ca="1">IF($D61="","",INDEX('Start List'!Y$15:Y$139,MATCH($D61,'Start List'!$B$15:$B$139,0)))</f>
        <v/>
      </c>
    </row>
    <row r="62" spans="1:28" ht="12.75" customHeight="1" x14ac:dyDescent="0.2">
      <c r="A62" s="59" t="str">
        <f>IF(OR(COUNT('Start List'!A:A)+COUNTIF('Start List'!$I$9:$I$14,"&lt;21")='By Category'!A61,A61=""),"",'By Category'!A61+1)</f>
        <v/>
      </c>
      <c r="B62" s="74" t="str">
        <f>IF(A62="","",VLOOKUP(SMALL('Start List'!$I$9:$I$139,A62),'Start List'!$I$9:$J$14,2,FALSE))</f>
        <v/>
      </c>
      <c r="C62" s="75" t="str">
        <f>IF(OR(B62="",COUNTIF($B$9:B62,B62)=1),"",COUNTIF($B$9:B62,B62)-1)</f>
        <v/>
      </c>
      <c r="D62" s="227" t="str">
        <f ca="1">IF(""=C62,"",LARGE(INDIRECT(VLOOKUP(B62,'Start List'!$J$9:$N$14,5,FALSE)),C62))</f>
        <v/>
      </c>
      <c r="E62" s="79" t="str">
        <f>IF(C62="","",VLOOKUP(B62,Data!$AK$2:$AN$7,4,FALSE)&amp;C62)</f>
        <v/>
      </c>
      <c r="F62" s="80" t="str">
        <f>IF(COUNTIF(Data!$D$2:$D$97,'By Category'!$E62)=0,"",VLOOKUP('By Category'!$E62,Data!$D$2:$H$97,'By Category'!F$8,FALSE))</f>
        <v/>
      </c>
      <c r="G62" s="80" t="str">
        <f>IF(COUNTIF(Data!$D$2:$D$97,'By Category'!$E62)=0,"",VLOOKUP('By Category'!$E62,Data!$D$2:$H$97,'By Category'!G$8,FALSE))</f>
        <v/>
      </c>
      <c r="H62" s="80" t="str">
        <f>IF(COUNTIF(Data!$D$2:$D$97,'By Category'!$E62)=0,"",VLOOKUP('By Category'!$E62,Data!$D$2:$H$97,'By Category'!H$8,FALSE))</f>
        <v/>
      </c>
      <c r="I62" s="80" t="str">
        <f>IF(COUNTIF(Data!$D$2:$D$97,'By Category'!$E62)=0,"",VLOOKUP('By Category'!$E62,Data!$D$2:$H$97,'By Category'!I$8,FALSE))</f>
        <v/>
      </c>
      <c r="J62" s="77" t="str">
        <f ca="1">IF(B62&lt;&gt;B61,B62,IF($D62="","",INDEX('Start List'!$D$15:$D$139,MATCH($D62,'Start List'!$B$15:$B$139,0))))</f>
        <v/>
      </c>
      <c r="K62" s="77" t="str">
        <f ca="1">IF($D62="","",INDEX('Start List'!$E$15:$E$139,MATCH($D62,'Start List'!$B$15:$B$139,0)))</f>
        <v/>
      </c>
      <c r="L62" s="77" t="str">
        <f ca="1">IF($D62="","",INDEX('Start List'!$H$15:$H$139,MATCH($D62,'Start List'!$B$15:$B$139,0)))</f>
        <v/>
      </c>
      <c r="M62" s="79" t="str">
        <f ca="1">IF($D62="","",INDEX('Start List'!$F$15:$F$139,MATCH($D62,'Start List'!$B$15:$B$139,0)))</f>
        <v/>
      </c>
      <c r="N62" s="80" t="str">
        <f ca="1">IF($D62="","",INDEX('Start List'!K$15:K$139,MATCH($D62,'Start List'!$B$15:$B$139,0)))</f>
        <v/>
      </c>
      <c r="O62" s="80" t="str">
        <f ca="1">IF($D62="","",INDEX('Start List'!L$15:L$139,MATCH($D62,'Start List'!$B$15:$B$139,0)))</f>
        <v/>
      </c>
      <c r="P62" s="80" t="str">
        <f ca="1">IF($D62="","",INDEX('Start List'!M$15:M$139,MATCH($D62,'Start List'!$B$15:$B$139,0)))</f>
        <v/>
      </c>
      <c r="Q62" s="80" t="str">
        <f ca="1">IF($D62="","",INDEX('Start List'!N$15:N$139,MATCH($D62,'Start List'!$B$15:$B$139,0)))</f>
        <v/>
      </c>
      <c r="R62" s="80" t="str">
        <f ca="1">IF($D62="","",INDEX('Start List'!O$15:O$139,MATCH($D62,'Start List'!$B$15:$B$139,0)))</f>
        <v/>
      </c>
      <c r="S62" s="80" t="str">
        <f ca="1">IF($D62="","",INDEX('Start List'!P$15:P$139,MATCH($D62,'Start List'!$B$15:$B$139,0)))</f>
        <v/>
      </c>
      <c r="T62" s="80" t="str">
        <f ca="1">IF($D62="","",INDEX('Start List'!Q$15:Q$139,MATCH($D62,'Start List'!$B$15:$B$139,0)))</f>
        <v/>
      </c>
      <c r="U62" s="80" t="str">
        <f ca="1">IF($D62="","",INDEX('Start List'!R$15:R$139,MATCH($D62,'Start List'!$B$15:$B$139,0)))</f>
        <v/>
      </c>
      <c r="V62" s="80" t="str">
        <f ca="1">IF($D62="","",INDEX('Start List'!S$15:S$139,MATCH($D62,'Start List'!$B$15:$B$139,0)))</f>
        <v/>
      </c>
      <c r="W62" s="80" t="str">
        <f ca="1">IF($D62="","",INDEX('Start List'!T$15:T$139,MATCH($D62,'Start List'!$B$15:$B$139,0)))</f>
        <v/>
      </c>
      <c r="X62" s="80" t="str">
        <f ca="1">IF($D62="","",INDEX('Start List'!U$15:U$139,MATCH($D62,'Start List'!$B$15:$B$139,0)))</f>
        <v/>
      </c>
      <c r="Y62" s="80" t="str">
        <f ca="1">IF($D62="","",INDEX('Start List'!V$15:V$139,MATCH($D62,'Start List'!$B$15:$B$139,0)))</f>
        <v/>
      </c>
      <c r="Z62" s="80" t="str">
        <f ca="1">IF($D62="","",INDEX('Start List'!W$15:W$139,MATCH($D62,'Start List'!$B$15:$B$139,0)))</f>
        <v/>
      </c>
      <c r="AA62" s="80" t="str">
        <f ca="1">IF($D62="","",INDEX('Start List'!X$15:X$139,MATCH($D62,'Start List'!$B$15:$B$139,0)))</f>
        <v/>
      </c>
      <c r="AB62" s="80" t="str">
        <f ca="1">IF($D62="","",INDEX('Start List'!Y$15:Y$139,MATCH($D62,'Start List'!$B$15:$B$139,0)))</f>
        <v/>
      </c>
    </row>
    <row r="63" spans="1:28" ht="12.75" customHeight="1" x14ac:dyDescent="0.2">
      <c r="A63" s="59" t="str">
        <f>IF(OR(COUNT('Start List'!A:A)+COUNTIF('Start List'!$I$9:$I$14,"&lt;21")='By Category'!A62,A62=""),"",'By Category'!A62+1)</f>
        <v/>
      </c>
      <c r="B63" s="74" t="str">
        <f>IF(A63="","",VLOOKUP(SMALL('Start List'!$I$9:$I$139,A63),'Start List'!$I$9:$J$14,2,FALSE))</f>
        <v/>
      </c>
      <c r="C63" s="75" t="str">
        <f>IF(OR(B63="",COUNTIF($B$9:B63,B63)=1),"",COUNTIF($B$9:B63,B63)-1)</f>
        <v/>
      </c>
      <c r="D63" s="227" t="str">
        <f ca="1">IF(""=C63,"",LARGE(INDIRECT(VLOOKUP(B63,'Start List'!$J$9:$N$14,5,FALSE)),C63))</f>
        <v/>
      </c>
      <c r="E63" s="79" t="str">
        <f>IF(C63="","",VLOOKUP(B63,Data!$AK$2:$AN$7,4,FALSE)&amp;C63)</f>
        <v/>
      </c>
      <c r="F63" s="80" t="str">
        <f>IF(COUNTIF(Data!$D$2:$D$97,'By Category'!$E63)=0,"",VLOOKUP('By Category'!$E63,Data!$D$2:$H$97,'By Category'!F$8,FALSE))</f>
        <v/>
      </c>
      <c r="G63" s="80" t="str">
        <f>IF(COUNTIF(Data!$D$2:$D$97,'By Category'!$E63)=0,"",VLOOKUP('By Category'!$E63,Data!$D$2:$H$97,'By Category'!G$8,FALSE))</f>
        <v/>
      </c>
      <c r="H63" s="80" t="str">
        <f>IF(COUNTIF(Data!$D$2:$D$97,'By Category'!$E63)=0,"",VLOOKUP('By Category'!$E63,Data!$D$2:$H$97,'By Category'!H$8,FALSE))</f>
        <v/>
      </c>
      <c r="I63" s="80" t="str">
        <f>IF(COUNTIF(Data!$D$2:$D$97,'By Category'!$E63)=0,"",VLOOKUP('By Category'!$E63,Data!$D$2:$H$97,'By Category'!I$8,FALSE))</f>
        <v/>
      </c>
      <c r="J63" s="77" t="str">
        <f ca="1">IF(B63&lt;&gt;B62,B63,IF($D63="","",INDEX('Start List'!$D$15:$D$139,MATCH($D63,'Start List'!$B$15:$B$139,0))))</f>
        <v/>
      </c>
      <c r="K63" s="77" t="str">
        <f ca="1">IF($D63="","",INDEX('Start List'!$E$15:$E$139,MATCH($D63,'Start List'!$B$15:$B$139,0)))</f>
        <v/>
      </c>
      <c r="L63" s="77" t="str">
        <f ca="1">IF($D63="","",INDEX('Start List'!$H$15:$H$139,MATCH($D63,'Start List'!$B$15:$B$139,0)))</f>
        <v/>
      </c>
      <c r="M63" s="79" t="str">
        <f ca="1">IF($D63="","",INDEX('Start List'!$F$15:$F$139,MATCH($D63,'Start List'!$B$15:$B$139,0)))</f>
        <v/>
      </c>
      <c r="N63" s="80" t="str">
        <f ca="1">IF($D63="","",INDEX('Start List'!K$15:K$139,MATCH($D63,'Start List'!$B$15:$B$139,0)))</f>
        <v/>
      </c>
      <c r="O63" s="80" t="str">
        <f ca="1">IF($D63="","",INDEX('Start List'!L$15:L$139,MATCH($D63,'Start List'!$B$15:$B$139,0)))</f>
        <v/>
      </c>
      <c r="P63" s="80" t="str">
        <f ca="1">IF($D63="","",INDEX('Start List'!M$15:M$139,MATCH($D63,'Start List'!$B$15:$B$139,0)))</f>
        <v/>
      </c>
      <c r="Q63" s="80" t="str">
        <f ca="1">IF($D63="","",INDEX('Start List'!N$15:N$139,MATCH($D63,'Start List'!$B$15:$B$139,0)))</f>
        <v/>
      </c>
      <c r="R63" s="80" t="str">
        <f ca="1">IF($D63="","",INDEX('Start List'!O$15:O$139,MATCH($D63,'Start List'!$B$15:$B$139,0)))</f>
        <v/>
      </c>
      <c r="S63" s="80" t="str">
        <f ca="1">IF($D63="","",INDEX('Start List'!P$15:P$139,MATCH($D63,'Start List'!$B$15:$B$139,0)))</f>
        <v/>
      </c>
      <c r="T63" s="80" t="str">
        <f ca="1">IF($D63="","",INDEX('Start List'!Q$15:Q$139,MATCH($D63,'Start List'!$B$15:$B$139,0)))</f>
        <v/>
      </c>
      <c r="U63" s="80" t="str">
        <f ca="1">IF($D63="","",INDEX('Start List'!R$15:R$139,MATCH($D63,'Start List'!$B$15:$B$139,0)))</f>
        <v/>
      </c>
      <c r="V63" s="80" t="str">
        <f ca="1">IF($D63="","",INDEX('Start List'!S$15:S$139,MATCH($D63,'Start List'!$B$15:$B$139,0)))</f>
        <v/>
      </c>
      <c r="W63" s="80" t="str">
        <f ca="1">IF($D63="","",INDEX('Start List'!T$15:T$139,MATCH($D63,'Start List'!$B$15:$B$139,0)))</f>
        <v/>
      </c>
      <c r="X63" s="80" t="str">
        <f ca="1">IF($D63="","",INDEX('Start List'!U$15:U$139,MATCH($D63,'Start List'!$B$15:$B$139,0)))</f>
        <v/>
      </c>
      <c r="Y63" s="80" t="str">
        <f ca="1">IF($D63="","",INDEX('Start List'!V$15:V$139,MATCH($D63,'Start List'!$B$15:$B$139,0)))</f>
        <v/>
      </c>
      <c r="Z63" s="80" t="str">
        <f ca="1">IF($D63="","",INDEX('Start List'!W$15:W$139,MATCH($D63,'Start List'!$B$15:$B$139,0)))</f>
        <v/>
      </c>
      <c r="AA63" s="80" t="str">
        <f ca="1">IF($D63="","",INDEX('Start List'!X$15:X$139,MATCH($D63,'Start List'!$B$15:$B$139,0)))</f>
        <v/>
      </c>
      <c r="AB63" s="80" t="str">
        <f ca="1">IF($D63="","",INDEX('Start List'!Y$15:Y$139,MATCH($D63,'Start List'!$B$15:$B$139,0)))</f>
        <v/>
      </c>
    </row>
    <row r="64" spans="1:28" ht="12.75" customHeight="1" x14ac:dyDescent="0.2">
      <c r="A64" s="59" t="str">
        <f>IF(OR(COUNT('Start List'!A:A)+COUNTIF('Start List'!$I$9:$I$14,"&lt;21")='By Category'!A63,A63=""),"",'By Category'!A63+1)</f>
        <v/>
      </c>
      <c r="B64" s="74" t="str">
        <f>IF(A64="","",VLOOKUP(SMALL('Start List'!$I$9:$I$139,A64),'Start List'!$I$9:$J$14,2,FALSE))</f>
        <v/>
      </c>
      <c r="C64" s="75" t="str">
        <f>IF(OR(B64="",COUNTIF($B$9:B64,B64)=1),"",COUNTIF($B$9:B64,B64)-1)</f>
        <v/>
      </c>
      <c r="D64" s="227" t="str">
        <f ca="1">IF(""=C64,"",LARGE(INDIRECT(VLOOKUP(B64,'Start List'!$J$9:$N$14,5,FALSE)),C64))</f>
        <v/>
      </c>
      <c r="E64" s="79" t="str">
        <f>IF(C64="","",VLOOKUP(B64,Data!$AK$2:$AN$7,4,FALSE)&amp;C64)</f>
        <v/>
      </c>
      <c r="F64" s="80" t="str">
        <f>IF(COUNTIF(Data!$D$2:$D$97,'By Category'!$E64)=0,"",VLOOKUP('By Category'!$E64,Data!$D$2:$H$97,'By Category'!F$8,FALSE))</f>
        <v/>
      </c>
      <c r="G64" s="80" t="str">
        <f>IF(COUNTIF(Data!$D$2:$D$97,'By Category'!$E64)=0,"",VLOOKUP('By Category'!$E64,Data!$D$2:$H$97,'By Category'!G$8,FALSE))</f>
        <v/>
      </c>
      <c r="H64" s="80" t="str">
        <f>IF(COUNTIF(Data!$D$2:$D$97,'By Category'!$E64)=0,"",VLOOKUP('By Category'!$E64,Data!$D$2:$H$97,'By Category'!H$8,FALSE))</f>
        <v/>
      </c>
      <c r="I64" s="80" t="str">
        <f>IF(COUNTIF(Data!$D$2:$D$97,'By Category'!$E64)=0,"",VLOOKUP('By Category'!$E64,Data!$D$2:$H$97,'By Category'!I$8,FALSE))</f>
        <v/>
      </c>
      <c r="J64" s="77" t="str">
        <f ca="1">IF(B64&lt;&gt;B63,B64,IF($D64="","",INDEX('Start List'!$D$15:$D$139,MATCH($D64,'Start List'!$B$15:$B$139,0))))</f>
        <v/>
      </c>
      <c r="K64" s="77" t="str">
        <f ca="1">IF($D64="","",INDEX('Start List'!$E$15:$E$139,MATCH($D64,'Start List'!$B$15:$B$139,0)))</f>
        <v/>
      </c>
      <c r="L64" s="77" t="str">
        <f ca="1">IF($D64="","",INDEX('Start List'!$H$15:$H$139,MATCH($D64,'Start List'!$B$15:$B$139,0)))</f>
        <v/>
      </c>
      <c r="M64" s="79" t="str">
        <f ca="1">IF($D64="","",INDEX('Start List'!$F$15:$F$139,MATCH($D64,'Start List'!$B$15:$B$139,0)))</f>
        <v/>
      </c>
      <c r="N64" s="80" t="str">
        <f ca="1">IF($D64="","",INDEX('Start List'!K$15:K$139,MATCH($D64,'Start List'!$B$15:$B$139,0)))</f>
        <v/>
      </c>
      <c r="O64" s="80" t="str">
        <f ca="1">IF($D64="","",INDEX('Start List'!L$15:L$139,MATCH($D64,'Start List'!$B$15:$B$139,0)))</f>
        <v/>
      </c>
      <c r="P64" s="80" t="str">
        <f ca="1">IF($D64="","",INDEX('Start List'!M$15:M$139,MATCH($D64,'Start List'!$B$15:$B$139,0)))</f>
        <v/>
      </c>
      <c r="Q64" s="80" t="str">
        <f ca="1">IF($D64="","",INDEX('Start List'!N$15:N$139,MATCH($D64,'Start List'!$B$15:$B$139,0)))</f>
        <v/>
      </c>
      <c r="R64" s="80" t="str">
        <f ca="1">IF($D64="","",INDEX('Start List'!O$15:O$139,MATCH($D64,'Start List'!$B$15:$B$139,0)))</f>
        <v/>
      </c>
      <c r="S64" s="80" t="str">
        <f ca="1">IF($D64="","",INDEX('Start List'!P$15:P$139,MATCH($D64,'Start List'!$B$15:$B$139,0)))</f>
        <v/>
      </c>
      <c r="T64" s="80" t="str">
        <f ca="1">IF($D64="","",INDEX('Start List'!Q$15:Q$139,MATCH($D64,'Start List'!$B$15:$B$139,0)))</f>
        <v/>
      </c>
      <c r="U64" s="80" t="str">
        <f ca="1">IF($D64="","",INDEX('Start List'!R$15:R$139,MATCH($D64,'Start List'!$B$15:$B$139,0)))</f>
        <v/>
      </c>
      <c r="V64" s="80" t="str">
        <f ca="1">IF($D64="","",INDEX('Start List'!S$15:S$139,MATCH($D64,'Start List'!$B$15:$B$139,0)))</f>
        <v/>
      </c>
      <c r="W64" s="80" t="str">
        <f ca="1">IF($D64="","",INDEX('Start List'!T$15:T$139,MATCH($D64,'Start List'!$B$15:$B$139,0)))</f>
        <v/>
      </c>
      <c r="X64" s="80" t="str">
        <f ca="1">IF($D64="","",INDEX('Start List'!U$15:U$139,MATCH($D64,'Start List'!$B$15:$B$139,0)))</f>
        <v/>
      </c>
      <c r="Y64" s="80" t="str">
        <f ca="1">IF($D64="","",INDEX('Start List'!V$15:V$139,MATCH($D64,'Start List'!$B$15:$B$139,0)))</f>
        <v/>
      </c>
      <c r="Z64" s="80" t="str">
        <f ca="1">IF($D64="","",INDEX('Start List'!W$15:W$139,MATCH($D64,'Start List'!$B$15:$B$139,0)))</f>
        <v/>
      </c>
      <c r="AA64" s="80" t="str">
        <f ca="1">IF($D64="","",INDEX('Start List'!X$15:X$139,MATCH($D64,'Start List'!$B$15:$B$139,0)))</f>
        <v/>
      </c>
      <c r="AB64" s="80" t="str">
        <f ca="1">IF($D64="","",INDEX('Start List'!Y$15:Y$139,MATCH($D64,'Start List'!$B$15:$B$139,0)))</f>
        <v/>
      </c>
    </row>
    <row r="65" spans="1:28" ht="12.75" customHeight="1" x14ac:dyDescent="0.2">
      <c r="A65" s="59" t="str">
        <f>IF(OR(COUNT('Start List'!A:A)+COUNTIF('Start List'!$I$9:$I$14,"&lt;21")='By Category'!A64,A64=""),"",'By Category'!A64+1)</f>
        <v/>
      </c>
      <c r="B65" s="74" t="str">
        <f>IF(A65="","",VLOOKUP(SMALL('Start List'!$I$9:$I$139,A65),'Start List'!$I$9:$J$14,2,FALSE))</f>
        <v/>
      </c>
      <c r="C65" s="75" t="str">
        <f>IF(OR(B65="",COUNTIF($B$9:B65,B65)=1),"",COUNTIF($B$9:B65,B65)-1)</f>
        <v/>
      </c>
      <c r="D65" s="227" t="str">
        <f ca="1">IF(""=C65,"",LARGE(INDIRECT(VLOOKUP(B65,'Start List'!$J$9:$N$14,5,FALSE)),C65))</f>
        <v/>
      </c>
      <c r="E65" s="79" t="str">
        <f>IF(C65="","",VLOOKUP(B65,Data!$AK$2:$AN$7,4,FALSE)&amp;C65)</f>
        <v/>
      </c>
      <c r="F65" s="80" t="str">
        <f>IF(COUNTIF(Data!$D$2:$D$97,'By Category'!$E65)=0,"",VLOOKUP('By Category'!$E65,Data!$D$2:$H$97,'By Category'!F$8,FALSE))</f>
        <v/>
      </c>
      <c r="G65" s="80" t="str">
        <f>IF(COUNTIF(Data!$D$2:$D$97,'By Category'!$E65)=0,"",VLOOKUP('By Category'!$E65,Data!$D$2:$H$97,'By Category'!G$8,FALSE))</f>
        <v/>
      </c>
      <c r="H65" s="80" t="str">
        <f>IF(COUNTIF(Data!$D$2:$D$97,'By Category'!$E65)=0,"",VLOOKUP('By Category'!$E65,Data!$D$2:$H$97,'By Category'!H$8,FALSE))</f>
        <v/>
      </c>
      <c r="I65" s="80" t="str">
        <f>IF(COUNTIF(Data!$D$2:$D$97,'By Category'!$E65)=0,"",VLOOKUP('By Category'!$E65,Data!$D$2:$H$97,'By Category'!I$8,FALSE))</f>
        <v/>
      </c>
      <c r="J65" s="77" t="str">
        <f ca="1">IF(B65&lt;&gt;B64,B65,IF($D65="","",INDEX('Start List'!$D$15:$D$139,MATCH($D65,'Start List'!$B$15:$B$139,0))))</f>
        <v/>
      </c>
      <c r="K65" s="77" t="str">
        <f ca="1">IF($D65="","",INDEX('Start List'!$E$15:$E$139,MATCH($D65,'Start List'!$B$15:$B$139,0)))</f>
        <v/>
      </c>
      <c r="L65" s="77" t="str">
        <f ca="1">IF($D65="","",INDEX('Start List'!$H$15:$H$139,MATCH($D65,'Start List'!$B$15:$B$139,0)))</f>
        <v/>
      </c>
      <c r="M65" s="79" t="str">
        <f ca="1">IF($D65="","",INDEX('Start List'!$F$15:$F$139,MATCH($D65,'Start List'!$B$15:$B$139,0)))</f>
        <v/>
      </c>
      <c r="N65" s="80" t="str">
        <f ca="1">IF($D65="","",INDEX('Start List'!K$15:K$139,MATCH($D65,'Start List'!$B$15:$B$139,0)))</f>
        <v/>
      </c>
      <c r="O65" s="80" t="str">
        <f ca="1">IF($D65="","",INDEX('Start List'!L$15:L$139,MATCH($D65,'Start List'!$B$15:$B$139,0)))</f>
        <v/>
      </c>
      <c r="P65" s="80" t="str">
        <f ca="1">IF($D65="","",INDEX('Start List'!M$15:M$139,MATCH($D65,'Start List'!$B$15:$B$139,0)))</f>
        <v/>
      </c>
      <c r="Q65" s="80" t="str">
        <f ca="1">IF($D65="","",INDEX('Start List'!N$15:N$139,MATCH($D65,'Start List'!$B$15:$B$139,0)))</f>
        <v/>
      </c>
      <c r="R65" s="80" t="str">
        <f ca="1">IF($D65="","",INDEX('Start List'!O$15:O$139,MATCH($D65,'Start List'!$B$15:$B$139,0)))</f>
        <v/>
      </c>
      <c r="S65" s="80" t="str">
        <f ca="1">IF($D65="","",INDEX('Start List'!P$15:P$139,MATCH($D65,'Start List'!$B$15:$B$139,0)))</f>
        <v/>
      </c>
      <c r="T65" s="80" t="str">
        <f ca="1">IF($D65="","",INDEX('Start List'!Q$15:Q$139,MATCH($D65,'Start List'!$B$15:$B$139,0)))</f>
        <v/>
      </c>
      <c r="U65" s="80" t="str">
        <f ca="1">IF($D65="","",INDEX('Start List'!R$15:R$139,MATCH($D65,'Start List'!$B$15:$B$139,0)))</f>
        <v/>
      </c>
      <c r="V65" s="80" t="str">
        <f ca="1">IF($D65="","",INDEX('Start List'!S$15:S$139,MATCH($D65,'Start List'!$B$15:$B$139,0)))</f>
        <v/>
      </c>
      <c r="W65" s="80" t="str">
        <f ca="1">IF($D65="","",INDEX('Start List'!T$15:T$139,MATCH($D65,'Start List'!$B$15:$B$139,0)))</f>
        <v/>
      </c>
      <c r="X65" s="80" t="str">
        <f ca="1">IF($D65="","",INDEX('Start List'!U$15:U$139,MATCH($D65,'Start List'!$B$15:$B$139,0)))</f>
        <v/>
      </c>
      <c r="Y65" s="80" t="str">
        <f ca="1">IF($D65="","",INDEX('Start List'!V$15:V$139,MATCH($D65,'Start List'!$B$15:$B$139,0)))</f>
        <v/>
      </c>
      <c r="Z65" s="80" t="str">
        <f ca="1">IF($D65="","",INDEX('Start List'!W$15:W$139,MATCH($D65,'Start List'!$B$15:$B$139,0)))</f>
        <v/>
      </c>
      <c r="AA65" s="80" t="str">
        <f ca="1">IF($D65="","",INDEX('Start List'!X$15:X$139,MATCH($D65,'Start List'!$B$15:$B$139,0)))</f>
        <v/>
      </c>
      <c r="AB65" s="80" t="str">
        <f ca="1">IF($D65="","",INDEX('Start List'!Y$15:Y$139,MATCH($D65,'Start List'!$B$15:$B$139,0)))</f>
        <v/>
      </c>
    </row>
    <row r="66" spans="1:28" ht="12.75" customHeight="1" x14ac:dyDescent="0.2">
      <c r="A66" s="59" t="str">
        <f>IF(OR(COUNT('Start List'!A:A)+COUNTIF('Start List'!$I$9:$I$14,"&lt;21")='By Category'!A65,A65=""),"",'By Category'!A65+1)</f>
        <v/>
      </c>
      <c r="B66" s="74" t="str">
        <f>IF(A66="","",VLOOKUP(SMALL('Start List'!$I$9:$I$139,A66),'Start List'!$I$9:$J$14,2,FALSE))</f>
        <v/>
      </c>
      <c r="C66" s="75" t="str">
        <f>IF(OR(B66="",COUNTIF($B$9:B66,B66)=1),"",COUNTIF($B$9:B66,B66)-1)</f>
        <v/>
      </c>
      <c r="D66" s="227" t="str">
        <f ca="1">IF(""=C66,"",LARGE(INDIRECT(VLOOKUP(B66,'Start List'!$J$9:$N$14,5,FALSE)),C66))</f>
        <v/>
      </c>
      <c r="E66" s="79" t="str">
        <f>IF(C66="","",VLOOKUP(B66,Data!$AK$2:$AN$7,4,FALSE)&amp;C66)</f>
        <v/>
      </c>
      <c r="F66" s="80" t="str">
        <f>IF(COUNTIF(Data!$D$2:$D$97,'By Category'!$E66)=0,"",VLOOKUP('By Category'!$E66,Data!$D$2:$H$97,'By Category'!F$8,FALSE))</f>
        <v/>
      </c>
      <c r="G66" s="80" t="str">
        <f>IF(COUNTIF(Data!$D$2:$D$97,'By Category'!$E66)=0,"",VLOOKUP('By Category'!$E66,Data!$D$2:$H$97,'By Category'!G$8,FALSE))</f>
        <v/>
      </c>
      <c r="H66" s="80" t="str">
        <f>IF(COUNTIF(Data!$D$2:$D$97,'By Category'!$E66)=0,"",VLOOKUP('By Category'!$E66,Data!$D$2:$H$97,'By Category'!H$8,FALSE))</f>
        <v/>
      </c>
      <c r="I66" s="80" t="str">
        <f>IF(COUNTIF(Data!$D$2:$D$97,'By Category'!$E66)=0,"",VLOOKUP('By Category'!$E66,Data!$D$2:$H$97,'By Category'!I$8,FALSE))</f>
        <v/>
      </c>
      <c r="J66" s="77" t="str">
        <f ca="1">IF(B66&lt;&gt;B65,B66,IF($D66="","",INDEX('Start List'!$D$15:$D$139,MATCH($D66,'Start List'!$B$15:$B$139,0))))</f>
        <v/>
      </c>
      <c r="K66" s="77" t="str">
        <f ca="1">IF($D66="","",INDEX('Start List'!$E$15:$E$139,MATCH($D66,'Start List'!$B$15:$B$139,0)))</f>
        <v/>
      </c>
      <c r="L66" s="77" t="str">
        <f ca="1">IF($D66="","",INDEX('Start List'!$H$15:$H$139,MATCH($D66,'Start List'!$B$15:$B$139,0)))</f>
        <v/>
      </c>
      <c r="M66" s="79" t="str">
        <f ca="1">IF($D66="","",INDEX('Start List'!$F$15:$F$139,MATCH($D66,'Start List'!$B$15:$B$139,0)))</f>
        <v/>
      </c>
      <c r="N66" s="80" t="str">
        <f ca="1">IF($D66="","",INDEX('Start List'!K$15:K$139,MATCH($D66,'Start List'!$B$15:$B$139,0)))</f>
        <v/>
      </c>
      <c r="O66" s="80" t="str">
        <f ca="1">IF($D66="","",INDEX('Start List'!L$15:L$139,MATCH($D66,'Start List'!$B$15:$B$139,0)))</f>
        <v/>
      </c>
      <c r="P66" s="80" t="str">
        <f ca="1">IF($D66="","",INDEX('Start List'!M$15:M$139,MATCH($D66,'Start List'!$B$15:$B$139,0)))</f>
        <v/>
      </c>
      <c r="Q66" s="80" t="str">
        <f ca="1">IF($D66="","",INDEX('Start List'!N$15:N$139,MATCH($D66,'Start List'!$B$15:$B$139,0)))</f>
        <v/>
      </c>
      <c r="R66" s="80" t="str">
        <f ca="1">IF($D66="","",INDEX('Start List'!O$15:O$139,MATCH($D66,'Start List'!$B$15:$B$139,0)))</f>
        <v/>
      </c>
      <c r="S66" s="80" t="str">
        <f ca="1">IF($D66="","",INDEX('Start List'!P$15:P$139,MATCH($D66,'Start List'!$B$15:$B$139,0)))</f>
        <v/>
      </c>
      <c r="T66" s="80" t="str">
        <f ca="1">IF($D66="","",INDEX('Start List'!Q$15:Q$139,MATCH($D66,'Start List'!$B$15:$B$139,0)))</f>
        <v/>
      </c>
      <c r="U66" s="80" t="str">
        <f ca="1">IF($D66="","",INDEX('Start List'!R$15:R$139,MATCH($D66,'Start List'!$B$15:$B$139,0)))</f>
        <v/>
      </c>
      <c r="V66" s="80" t="str">
        <f ca="1">IF($D66="","",INDEX('Start List'!S$15:S$139,MATCH($D66,'Start List'!$B$15:$B$139,0)))</f>
        <v/>
      </c>
      <c r="W66" s="80" t="str">
        <f ca="1">IF($D66="","",INDEX('Start List'!T$15:T$139,MATCH($D66,'Start List'!$B$15:$B$139,0)))</f>
        <v/>
      </c>
      <c r="X66" s="80" t="str">
        <f ca="1">IF($D66="","",INDEX('Start List'!U$15:U$139,MATCH($D66,'Start List'!$B$15:$B$139,0)))</f>
        <v/>
      </c>
      <c r="Y66" s="80" t="str">
        <f ca="1">IF($D66="","",INDEX('Start List'!V$15:V$139,MATCH($D66,'Start List'!$B$15:$B$139,0)))</f>
        <v/>
      </c>
      <c r="Z66" s="80" t="str">
        <f ca="1">IF($D66="","",INDEX('Start List'!W$15:W$139,MATCH($D66,'Start List'!$B$15:$B$139,0)))</f>
        <v/>
      </c>
      <c r="AA66" s="80" t="str">
        <f ca="1">IF($D66="","",INDEX('Start List'!X$15:X$139,MATCH($D66,'Start List'!$B$15:$B$139,0)))</f>
        <v/>
      </c>
      <c r="AB66" s="80" t="str">
        <f ca="1">IF($D66="","",INDEX('Start List'!Y$15:Y$139,MATCH($D66,'Start List'!$B$15:$B$139,0)))</f>
        <v/>
      </c>
    </row>
    <row r="67" spans="1:28" ht="12.75" customHeight="1" x14ac:dyDescent="0.2">
      <c r="A67" s="59" t="str">
        <f>IF(OR(COUNT('Start List'!A:A)+COUNTIF('Start List'!$I$9:$I$14,"&lt;21")='By Category'!A66,A66=""),"",'By Category'!A66+1)</f>
        <v/>
      </c>
      <c r="B67" s="74" t="str">
        <f>IF(A67="","",VLOOKUP(SMALL('Start List'!$I$9:$I$139,A67),'Start List'!$I$9:$J$14,2,FALSE))</f>
        <v/>
      </c>
      <c r="C67" s="75" t="str">
        <f>IF(OR(B67="",COUNTIF($B$9:B67,B67)=1),"",COUNTIF($B$9:B67,B67)-1)</f>
        <v/>
      </c>
      <c r="D67" s="227" t="str">
        <f ca="1">IF(""=C67,"",LARGE(INDIRECT(VLOOKUP(B67,'Start List'!$J$9:$N$14,5,FALSE)),C67))</f>
        <v/>
      </c>
      <c r="E67" s="79" t="str">
        <f>IF(C67="","",VLOOKUP(B67,Data!$AK$2:$AN$7,4,FALSE)&amp;C67)</f>
        <v/>
      </c>
      <c r="F67" s="80" t="str">
        <f>IF(COUNTIF(Data!$D$2:$D$97,'By Category'!$E67)=0,"",VLOOKUP('By Category'!$E67,Data!$D$2:$H$97,'By Category'!F$8,FALSE))</f>
        <v/>
      </c>
      <c r="G67" s="80" t="str">
        <f>IF(COUNTIF(Data!$D$2:$D$97,'By Category'!$E67)=0,"",VLOOKUP('By Category'!$E67,Data!$D$2:$H$97,'By Category'!G$8,FALSE))</f>
        <v/>
      </c>
      <c r="H67" s="80" t="str">
        <f>IF(COUNTIF(Data!$D$2:$D$97,'By Category'!$E67)=0,"",VLOOKUP('By Category'!$E67,Data!$D$2:$H$97,'By Category'!H$8,FALSE))</f>
        <v/>
      </c>
      <c r="I67" s="80" t="str">
        <f>IF(COUNTIF(Data!$D$2:$D$97,'By Category'!$E67)=0,"",VLOOKUP('By Category'!$E67,Data!$D$2:$H$97,'By Category'!I$8,FALSE))</f>
        <v/>
      </c>
      <c r="J67" s="77" t="str">
        <f ca="1">IF(B67&lt;&gt;B66,B67,IF($D67="","",INDEX('Start List'!$D$15:$D$139,MATCH($D67,'Start List'!$B$15:$B$139,0))))</f>
        <v/>
      </c>
      <c r="K67" s="77" t="str">
        <f ca="1">IF($D67="","",INDEX('Start List'!$E$15:$E$139,MATCH($D67,'Start List'!$B$15:$B$139,0)))</f>
        <v/>
      </c>
      <c r="L67" s="77" t="str">
        <f ca="1">IF($D67="","",INDEX('Start List'!$H$15:$H$139,MATCH($D67,'Start List'!$B$15:$B$139,0)))</f>
        <v/>
      </c>
      <c r="M67" s="79" t="str">
        <f ca="1">IF($D67="","",INDEX('Start List'!$F$15:$F$139,MATCH($D67,'Start List'!$B$15:$B$139,0)))</f>
        <v/>
      </c>
      <c r="N67" s="80" t="str">
        <f ca="1">IF($D67="","",INDEX('Start List'!K$15:K$139,MATCH($D67,'Start List'!$B$15:$B$139,0)))</f>
        <v/>
      </c>
      <c r="O67" s="80" t="str">
        <f ca="1">IF($D67="","",INDEX('Start List'!L$15:L$139,MATCH($D67,'Start List'!$B$15:$B$139,0)))</f>
        <v/>
      </c>
      <c r="P67" s="80" t="str">
        <f ca="1">IF($D67="","",INDEX('Start List'!M$15:M$139,MATCH($D67,'Start List'!$B$15:$B$139,0)))</f>
        <v/>
      </c>
      <c r="Q67" s="80" t="str">
        <f ca="1">IF($D67="","",INDEX('Start List'!N$15:N$139,MATCH($D67,'Start List'!$B$15:$B$139,0)))</f>
        <v/>
      </c>
      <c r="R67" s="80" t="str">
        <f ca="1">IF($D67="","",INDEX('Start List'!O$15:O$139,MATCH($D67,'Start List'!$B$15:$B$139,0)))</f>
        <v/>
      </c>
      <c r="S67" s="80" t="str">
        <f ca="1">IF($D67="","",INDEX('Start List'!P$15:P$139,MATCH($D67,'Start List'!$B$15:$B$139,0)))</f>
        <v/>
      </c>
      <c r="T67" s="80" t="str">
        <f ca="1">IF($D67="","",INDEX('Start List'!Q$15:Q$139,MATCH($D67,'Start List'!$B$15:$B$139,0)))</f>
        <v/>
      </c>
      <c r="U67" s="80" t="str">
        <f ca="1">IF($D67="","",INDEX('Start List'!R$15:R$139,MATCH($D67,'Start List'!$B$15:$B$139,0)))</f>
        <v/>
      </c>
      <c r="V67" s="80" t="str">
        <f ca="1">IF($D67="","",INDEX('Start List'!S$15:S$139,MATCH($D67,'Start List'!$B$15:$B$139,0)))</f>
        <v/>
      </c>
      <c r="W67" s="80" t="str">
        <f ca="1">IF($D67="","",INDEX('Start List'!T$15:T$139,MATCH($D67,'Start List'!$B$15:$B$139,0)))</f>
        <v/>
      </c>
      <c r="X67" s="80" t="str">
        <f ca="1">IF($D67="","",INDEX('Start List'!U$15:U$139,MATCH($D67,'Start List'!$B$15:$B$139,0)))</f>
        <v/>
      </c>
      <c r="Y67" s="80" t="str">
        <f ca="1">IF($D67="","",INDEX('Start List'!V$15:V$139,MATCH($D67,'Start List'!$B$15:$B$139,0)))</f>
        <v/>
      </c>
      <c r="Z67" s="80" t="str">
        <f ca="1">IF($D67="","",INDEX('Start List'!W$15:W$139,MATCH($D67,'Start List'!$B$15:$B$139,0)))</f>
        <v/>
      </c>
      <c r="AA67" s="80" t="str">
        <f ca="1">IF($D67="","",INDEX('Start List'!X$15:X$139,MATCH($D67,'Start List'!$B$15:$B$139,0)))</f>
        <v/>
      </c>
      <c r="AB67" s="80" t="str">
        <f ca="1">IF($D67="","",INDEX('Start List'!Y$15:Y$139,MATCH($D67,'Start List'!$B$15:$B$139,0)))</f>
        <v/>
      </c>
    </row>
    <row r="68" spans="1:28" ht="12.75" customHeight="1" x14ac:dyDescent="0.2">
      <c r="A68" s="59" t="str">
        <f>IF(OR(COUNT('Start List'!A:A)+COUNTIF('Start List'!$I$9:$I$14,"&lt;21")='By Category'!A67,A67=""),"",'By Category'!A67+1)</f>
        <v/>
      </c>
      <c r="B68" s="74" t="str">
        <f>IF(A68="","",VLOOKUP(SMALL('Start List'!$I$9:$I$139,A68),'Start List'!$I$9:$J$14,2,FALSE))</f>
        <v/>
      </c>
      <c r="C68" s="75" t="str">
        <f>IF(OR(B68="",COUNTIF($B$9:B68,B68)=1),"",COUNTIF($B$9:B68,B68)-1)</f>
        <v/>
      </c>
      <c r="D68" s="227" t="str">
        <f ca="1">IF(""=C68,"",LARGE(INDIRECT(VLOOKUP(B68,'Start List'!$J$9:$N$14,5,FALSE)),C68))</f>
        <v/>
      </c>
      <c r="E68" s="79" t="str">
        <f>IF(C68="","",VLOOKUP(B68,Data!$AK$2:$AN$7,4,FALSE)&amp;C68)</f>
        <v/>
      </c>
      <c r="F68" s="80" t="str">
        <f>IF(COUNTIF(Data!$D$2:$D$97,'By Category'!$E68)=0,"",VLOOKUP('By Category'!$E68,Data!$D$2:$H$97,'By Category'!F$8,FALSE))</f>
        <v/>
      </c>
      <c r="G68" s="80" t="str">
        <f>IF(COUNTIF(Data!$D$2:$D$97,'By Category'!$E68)=0,"",VLOOKUP('By Category'!$E68,Data!$D$2:$H$97,'By Category'!G$8,FALSE))</f>
        <v/>
      </c>
      <c r="H68" s="80" t="str">
        <f>IF(COUNTIF(Data!$D$2:$D$97,'By Category'!$E68)=0,"",VLOOKUP('By Category'!$E68,Data!$D$2:$H$97,'By Category'!H$8,FALSE))</f>
        <v/>
      </c>
      <c r="I68" s="80" t="str">
        <f>IF(COUNTIF(Data!$D$2:$D$97,'By Category'!$E68)=0,"",VLOOKUP('By Category'!$E68,Data!$D$2:$H$97,'By Category'!I$8,FALSE))</f>
        <v/>
      </c>
      <c r="J68" s="77" t="str">
        <f ca="1">IF(B68&lt;&gt;B67,B68,IF($D68="","",INDEX('Start List'!$D$15:$D$139,MATCH($D68,'Start List'!$B$15:$B$139,0))))</f>
        <v/>
      </c>
      <c r="K68" s="77" t="str">
        <f ca="1">IF($D68="","",INDEX('Start List'!$E$15:$E$139,MATCH($D68,'Start List'!$B$15:$B$139,0)))</f>
        <v/>
      </c>
      <c r="L68" s="77" t="str">
        <f ca="1">IF($D68="","",INDEX('Start List'!$H$15:$H$139,MATCH($D68,'Start List'!$B$15:$B$139,0)))</f>
        <v/>
      </c>
      <c r="M68" s="79" t="str">
        <f ca="1">IF($D68="","",INDEX('Start List'!$F$15:$F$139,MATCH($D68,'Start List'!$B$15:$B$139,0)))</f>
        <v/>
      </c>
      <c r="N68" s="80" t="str">
        <f ca="1">IF($D68="","",INDEX('Start List'!K$15:K$139,MATCH($D68,'Start List'!$B$15:$B$139,0)))</f>
        <v/>
      </c>
      <c r="O68" s="80" t="str">
        <f ca="1">IF($D68="","",INDEX('Start List'!L$15:L$139,MATCH($D68,'Start List'!$B$15:$B$139,0)))</f>
        <v/>
      </c>
      <c r="P68" s="80" t="str">
        <f ca="1">IF($D68="","",INDEX('Start List'!M$15:M$139,MATCH($D68,'Start List'!$B$15:$B$139,0)))</f>
        <v/>
      </c>
      <c r="Q68" s="80" t="str">
        <f ca="1">IF($D68="","",INDEX('Start List'!N$15:N$139,MATCH($D68,'Start List'!$B$15:$B$139,0)))</f>
        <v/>
      </c>
      <c r="R68" s="80" t="str">
        <f ca="1">IF($D68="","",INDEX('Start List'!O$15:O$139,MATCH($D68,'Start List'!$B$15:$B$139,0)))</f>
        <v/>
      </c>
      <c r="S68" s="80" t="str">
        <f ca="1">IF($D68="","",INDEX('Start List'!P$15:P$139,MATCH($D68,'Start List'!$B$15:$B$139,0)))</f>
        <v/>
      </c>
      <c r="T68" s="80" t="str">
        <f ca="1">IF($D68="","",INDEX('Start List'!Q$15:Q$139,MATCH($D68,'Start List'!$B$15:$B$139,0)))</f>
        <v/>
      </c>
      <c r="U68" s="80" t="str">
        <f ca="1">IF($D68="","",INDEX('Start List'!R$15:R$139,MATCH($D68,'Start List'!$B$15:$B$139,0)))</f>
        <v/>
      </c>
      <c r="V68" s="80" t="str">
        <f ca="1">IF($D68="","",INDEX('Start List'!S$15:S$139,MATCH($D68,'Start List'!$B$15:$B$139,0)))</f>
        <v/>
      </c>
      <c r="W68" s="80" t="str">
        <f ca="1">IF($D68="","",INDEX('Start List'!T$15:T$139,MATCH($D68,'Start List'!$B$15:$B$139,0)))</f>
        <v/>
      </c>
      <c r="X68" s="80" t="str">
        <f ca="1">IF($D68="","",INDEX('Start List'!U$15:U$139,MATCH($D68,'Start List'!$B$15:$B$139,0)))</f>
        <v/>
      </c>
      <c r="Y68" s="80" t="str">
        <f ca="1">IF($D68="","",INDEX('Start List'!V$15:V$139,MATCH($D68,'Start List'!$B$15:$B$139,0)))</f>
        <v/>
      </c>
      <c r="Z68" s="80" t="str">
        <f ca="1">IF($D68="","",INDEX('Start List'!W$15:W$139,MATCH($D68,'Start List'!$B$15:$B$139,0)))</f>
        <v/>
      </c>
      <c r="AA68" s="80" t="str">
        <f ca="1">IF($D68="","",INDEX('Start List'!X$15:X$139,MATCH($D68,'Start List'!$B$15:$B$139,0)))</f>
        <v/>
      </c>
      <c r="AB68" s="80" t="str">
        <f ca="1">IF($D68="","",INDEX('Start List'!Y$15:Y$139,MATCH($D68,'Start List'!$B$15:$B$139,0)))</f>
        <v/>
      </c>
    </row>
    <row r="69" spans="1:28" ht="12.75" customHeight="1" x14ac:dyDescent="0.2">
      <c r="A69" s="59" t="str">
        <f>IF(OR(COUNT('Start List'!A:A)+COUNTIF('Start List'!$I$9:$I$14,"&lt;21")='By Category'!A68,A68=""),"",'By Category'!A68+1)</f>
        <v/>
      </c>
      <c r="B69" s="74" t="str">
        <f>IF(A69="","",VLOOKUP(SMALL('Start List'!$I$9:$I$139,A69),'Start List'!$I$9:$J$14,2,FALSE))</f>
        <v/>
      </c>
      <c r="C69" s="75" t="str">
        <f>IF(OR(B69="",COUNTIF($B$9:B69,B69)=1),"",COUNTIF($B$9:B69,B69)-1)</f>
        <v/>
      </c>
      <c r="D69" s="227" t="str">
        <f ca="1">IF(""=C69,"",LARGE(INDIRECT(VLOOKUP(B69,'Start List'!$J$9:$N$14,5,FALSE)),C69))</f>
        <v/>
      </c>
      <c r="E69" s="79" t="str">
        <f>IF(C69="","",VLOOKUP(B69,Data!$AK$2:$AN$7,4,FALSE)&amp;C69)</f>
        <v/>
      </c>
      <c r="F69" s="80" t="str">
        <f>IF(COUNTIF(Data!$D$2:$D$97,'By Category'!$E69)=0,"",VLOOKUP('By Category'!$E69,Data!$D$2:$H$97,'By Category'!F$8,FALSE))</f>
        <v/>
      </c>
      <c r="G69" s="80" t="str">
        <f>IF(COUNTIF(Data!$D$2:$D$97,'By Category'!$E69)=0,"",VLOOKUP('By Category'!$E69,Data!$D$2:$H$97,'By Category'!G$8,FALSE))</f>
        <v/>
      </c>
      <c r="H69" s="80" t="str">
        <f>IF(COUNTIF(Data!$D$2:$D$97,'By Category'!$E69)=0,"",VLOOKUP('By Category'!$E69,Data!$D$2:$H$97,'By Category'!H$8,FALSE))</f>
        <v/>
      </c>
      <c r="I69" s="80" t="str">
        <f>IF(COUNTIF(Data!$D$2:$D$97,'By Category'!$E69)=0,"",VLOOKUP('By Category'!$E69,Data!$D$2:$H$97,'By Category'!I$8,FALSE))</f>
        <v/>
      </c>
      <c r="J69" s="77" t="str">
        <f ca="1">IF(B69&lt;&gt;B68,B69,IF($D69="","",INDEX('Start List'!$D$15:$D$139,MATCH($D69,'Start List'!$B$15:$B$139,0))))</f>
        <v/>
      </c>
      <c r="K69" s="77" t="str">
        <f ca="1">IF($D69="","",INDEX('Start List'!$E$15:$E$139,MATCH($D69,'Start List'!$B$15:$B$139,0)))</f>
        <v/>
      </c>
      <c r="L69" s="77" t="str">
        <f ca="1">IF($D69="","",INDEX('Start List'!$H$15:$H$139,MATCH($D69,'Start List'!$B$15:$B$139,0)))</f>
        <v/>
      </c>
      <c r="M69" s="79" t="str">
        <f ca="1">IF($D69="","",INDEX('Start List'!$F$15:$F$139,MATCH($D69,'Start List'!$B$15:$B$139,0)))</f>
        <v/>
      </c>
      <c r="N69" s="80" t="str">
        <f ca="1">IF($D69="","",INDEX('Start List'!K$15:K$139,MATCH($D69,'Start List'!$B$15:$B$139,0)))</f>
        <v/>
      </c>
      <c r="O69" s="80" t="str">
        <f ca="1">IF($D69="","",INDEX('Start List'!L$15:L$139,MATCH($D69,'Start List'!$B$15:$B$139,0)))</f>
        <v/>
      </c>
      <c r="P69" s="80" t="str">
        <f ca="1">IF($D69="","",INDEX('Start List'!M$15:M$139,MATCH($D69,'Start List'!$B$15:$B$139,0)))</f>
        <v/>
      </c>
      <c r="Q69" s="80" t="str">
        <f ca="1">IF($D69="","",INDEX('Start List'!N$15:N$139,MATCH($D69,'Start List'!$B$15:$B$139,0)))</f>
        <v/>
      </c>
      <c r="R69" s="80" t="str">
        <f ca="1">IF($D69="","",INDEX('Start List'!O$15:O$139,MATCH($D69,'Start List'!$B$15:$B$139,0)))</f>
        <v/>
      </c>
      <c r="S69" s="80" t="str">
        <f ca="1">IF($D69="","",INDEX('Start List'!P$15:P$139,MATCH($D69,'Start List'!$B$15:$B$139,0)))</f>
        <v/>
      </c>
      <c r="T69" s="80" t="str">
        <f ca="1">IF($D69="","",INDEX('Start List'!Q$15:Q$139,MATCH($D69,'Start List'!$B$15:$B$139,0)))</f>
        <v/>
      </c>
      <c r="U69" s="80" t="str">
        <f ca="1">IF($D69="","",INDEX('Start List'!R$15:R$139,MATCH($D69,'Start List'!$B$15:$B$139,0)))</f>
        <v/>
      </c>
      <c r="V69" s="80" t="str">
        <f ca="1">IF($D69="","",INDEX('Start List'!S$15:S$139,MATCH($D69,'Start List'!$B$15:$B$139,0)))</f>
        <v/>
      </c>
      <c r="W69" s="80" t="str">
        <f ca="1">IF($D69="","",INDEX('Start List'!T$15:T$139,MATCH($D69,'Start List'!$B$15:$B$139,0)))</f>
        <v/>
      </c>
      <c r="X69" s="80" t="str">
        <f ca="1">IF($D69="","",INDEX('Start List'!U$15:U$139,MATCH($D69,'Start List'!$B$15:$B$139,0)))</f>
        <v/>
      </c>
      <c r="Y69" s="80" t="str">
        <f ca="1">IF($D69="","",INDEX('Start List'!V$15:V$139,MATCH($D69,'Start List'!$B$15:$B$139,0)))</f>
        <v/>
      </c>
      <c r="Z69" s="80" t="str">
        <f ca="1">IF($D69="","",INDEX('Start List'!W$15:W$139,MATCH($D69,'Start List'!$B$15:$B$139,0)))</f>
        <v/>
      </c>
      <c r="AA69" s="80" t="str">
        <f ca="1">IF($D69="","",INDEX('Start List'!X$15:X$139,MATCH($D69,'Start List'!$B$15:$B$139,0)))</f>
        <v/>
      </c>
      <c r="AB69" s="80" t="str">
        <f ca="1">IF($D69="","",INDEX('Start List'!Y$15:Y$139,MATCH($D69,'Start List'!$B$15:$B$139,0)))</f>
        <v/>
      </c>
    </row>
    <row r="70" spans="1:28" ht="12.75" customHeight="1" x14ac:dyDescent="0.2">
      <c r="A70" s="59" t="str">
        <f>IF(OR(COUNT('Start List'!A:A)+COUNTIF('Start List'!$I$9:$I$14,"&lt;21")='By Category'!A69,A69=""),"",'By Category'!A69+1)</f>
        <v/>
      </c>
      <c r="B70" s="74" t="str">
        <f>IF(A70="","",VLOOKUP(SMALL('Start List'!$I$9:$I$139,A70),'Start List'!$I$9:$J$14,2,FALSE))</f>
        <v/>
      </c>
      <c r="C70" s="75" t="str">
        <f>IF(OR(B70="",COUNTIF($B$9:B70,B70)=1),"",COUNTIF($B$9:B70,B70)-1)</f>
        <v/>
      </c>
      <c r="D70" s="227" t="str">
        <f ca="1">IF(""=C70,"",LARGE(INDIRECT(VLOOKUP(B70,'Start List'!$J$9:$N$14,5,FALSE)),C70))</f>
        <v/>
      </c>
      <c r="E70" s="79" t="str">
        <f>IF(C70="","",VLOOKUP(B70,Data!$AK$2:$AN$7,4,FALSE)&amp;C70)</f>
        <v/>
      </c>
      <c r="F70" s="80" t="str">
        <f>IF(COUNTIF(Data!$D$2:$D$97,'By Category'!$E70)=0,"",VLOOKUP('By Category'!$E70,Data!$D$2:$H$97,'By Category'!F$8,FALSE))</f>
        <v/>
      </c>
      <c r="G70" s="80" t="str">
        <f>IF(COUNTIF(Data!$D$2:$D$97,'By Category'!$E70)=0,"",VLOOKUP('By Category'!$E70,Data!$D$2:$H$97,'By Category'!G$8,FALSE))</f>
        <v/>
      </c>
      <c r="H70" s="80" t="str">
        <f>IF(COUNTIF(Data!$D$2:$D$97,'By Category'!$E70)=0,"",VLOOKUP('By Category'!$E70,Data!$D$2:$H$97,'By Category'!H$8,FALSE))</f>
        <v/>
      </c>
      <c r="I70" s="80" t="str">
        <f>IF(COUNTIF(Data!$D$2:$D$97,'By Category'!$E70)=0,"",VLOOKUP('By Category'!$E70,Data!$D$2:$H$97,'By Category'!I$8,FALSE))</f>
        <v/>
      </c>
      <c r="J70" s="77" t="str">
        <f ca="1">IF(B70&lt;&gt;B69,B70,IF($D70="","",INDEX('Start List'!$D$15:$D$139,MATCH($D70,'Start List'!$B$15:$B$139,0))))</f>
        <v/>
      </c>
      <c r="K70" s="77" t="str">
        <f ca="1">IF($D70="","",INDEX('Start List'!$E$15:$E$139,MATCH($D70,'Start List'!$B$15:$B$139,0)))</f>
        <v/>
      </c>
      <c r="L70" s="77" t="str">
        <f ca="1">IF($D70="","",INDEX('Start List'!$H$15:$H$139,MATCH($D70,'Start List'!$B$15:$B$139,0)))</f>
        <v/>
      </c>
      <c r="M70" s="79" t="str">
        <f ca="1">IF($D70="","",INDEX('Start List'!$F$15:$F$139,MATCH($D70,'Start List'!$B$15:$B$139,0)))</f>
        <v/>
      </c>
      <c r="N70" s="80" t="str">
        <f ca="1">IF($D70="","",INDEX('Start List'!K$15:K$139,MATCH($D70,'Start List'!$B$15:$B$139,0)))</f>
        <v/>
      </c>
      <c r="O70" s="80" t="str">
        <f ca="1">IF($D70="","",INDEX('Start List'!L$15:L$139,MATCH($D70,'Start List'!$B$15:$B$139,0)))</f>
        <v/>
      </c>
      <c r="P70" s="80" t="str">
        <f ca="1">IF($D70="","",INDEX('Start List'!M$15:M$139,MATCH($D70,'Start List'!$B$15:$B$139,0)))</f>
        <v/>
      </c>
      <c r="Q70" s="80" t="str">
        <f ca="1">IF($D70="","",INDEX('Start List'!N$15:N$139,MATCH($D70,'Start List'!$B$15:$B$139,0)))</f>
        <v/>
      </c>
      <c r="R70" s="80" t="str">
        <f ca="1">IF($D70="","",INDEX('Start List'!O$15:O$139,MATCH($D70,'Start List'!$B$15:$B$139,0)))</f>
        <v/>
      </c>
      <c r="S70" s="80" t="str">
        <f ca="1">IF($D70="","",INDEX('Start List'!P$15:P$139,MATCH($D70,'Start List'!$B$15:$B$139,0)))</f>
        <v/>
      </c>
      <c r="T70" s="80" t="str">
        <f ca="1">IF($D70="","",INDEX('Start List'!Q$15:Q$139,MATCH($D70,'Start List'!$B$15:$B$139,0)))</f>
        <v/>
      </c>
      <c r="U70" s="80" t="str">
        <f ca="1">IF($D70="","",INDEX('Start List'!R$15:R$139,MATCH($D70,'Start List'!$B$15:$B$139,0)))</f>
        <v/>
      </c>
      <c r="V70" s="80" t="str">
        <f ca="1">IF($D70="","",INDEX('Start List'!S$15:S$139,MATCH($D70,'Start List'!$B$15:$B$139,0)))</f>
        <v/>
      </c>
      <c r="W70" s="80" t="str">
        <f ca="1">IF($D70="","",INDEX('Start List'!T$15:T$139,MATCH($D70,'Start List'!$B$15:$B$139,0)))</f>
        <v/>
      </c>
      <c r="X70" s="80" t="str">
        <f ca="1">IF($D70="","",INDEX('Start List'!U$15:U$139,MATCH($D70,'Start List'!$B$15:$B$139,0)))</f>
        <v/>
      </c>
      <c r="Y70" s="80" t="str">
        <f ca="1">IF($D70="","",INDEX('Start List'!V$15:V$139,MATCH($D70,'Start List'!$B$15:$B$139,0)))</f>
        <v/>
      </c>
      <c r="Z70" s="80" t="str">
        <f ca="1">IF($D70="","",INDEX('Start List'!W$15:W$139,MATCH($D70,'Start List'!$B$15:$B$139,0)))</f>
        <v/>
      </c>
      <c r="AA70" s="80" t="str">
        <f ca="1">IF($D70="","",INDEX('Start List'!X$15:X$139,MATCH($D70,'Start List'!$B$15:$B$139,0)))</f>
        <v/>
      </c>
      <c r="AB70" s="80" t="str">
        <f ca="1">IF($D70="","",INDEX('Start List'!Y$15:Y$139,MATCH($D70,'Start List'!$B$15:$B$139,0)))</f>
        <v/>
      </c>
    </row>
    <row r="71" spans="1:28" ht="12.75" customHeight="1" x14ac:dyDescent="0.2">
      <c r="A71" s="59" t="str">
        <f>IF(OR(COUNT('Start List'!A:A)+COUNTIF('Start List'!$I$9:$I$14,"&lt;21")='By Category'!A70,A70=""),"",'By Category'!A70+1)</f>
        <v/>
      </c>
      <c r="B71" s="74" t="str">
        <f>IF(A71="","",VLOOKUP(SMALL('Start List'!$I$9:$I$139,A71),'Start List'!$I$9:$J$14,2,FALSE))</f>
        <v/>
      </c>
      <c r="C71" s="75" t="str">
        <f>IF(OR(B71="",COUNTIF($B$9:B71,B71)=1),"",COUNTIF($B$9:B71,B71)-1)</f>
        <v/>
      </c>
      <c r="D71" s="227" t="str">
        <f ca="1">IF(""=C71,"",LARGE(INDIRECT(VLOOKUP(B71,'Start List'!$J$9:$N$14,5,FALSE)),C71))</f>
        <v/>
      </c>
      <c r="E71" s="79" t="str">
        <f>IF(C71="","",VLOOKUP(B71,Data!$AK$2:$AN$7,4,FALSE)&amp;C71)</f>
        <v/>
      </c>
      <c r="F71" s="80" t="str">
        <f>IF(COUNTIF(Data!$D$2:$D$97,'By Category'!$E71)=0,"",VLOOKUP('By Category'!$E71,Data!$D$2:$H$97,'By Category'!F$8,FALSE))</f>
        <v/>
      </c>
      <c r="G71" s="80" t="str">
        <f>IF(COUNTIF(Data!$D$2:$D$97,'By Category'!$E71)=0,"",VLOOKUP('By Category'!$E71,Data!$D$2:$H$97,'By Category'!G$8,FALSE))</f>
        <v/>
      </c>
      <c r="H71" s="80" t="str">
        <f>IF(COUNTIF(Data!$D$2:$D$97,'By Category'!$E71)=0,"",VLOOKUP('By Category'!$E71,Data!$D$2:$H$97,'By Category'!H$8,FALSE))</f>
        <v/>
      </c>
      <c r="I71" s="80" t="str">
        <f>IF(COUNTIF(Data!$D$2:$D$97,'By Category'!$E71)=0,"",VLOOKUP('By Category'!$E71,Data!$D$2:$H$97,'By Category'!I$8,FALSE))</f>
        <v/>
      </c>
      <c r="J71" s="77" t="str">
        <f ca="1">IF(B71&lt;&gt;B70,B71,IF($D71="","",INDEX('Start List'!$D$15:$D$139,MATCH($D71,'Start List'!$B$15:$B$139,0))))</f>
        <v/>
      </c>
      <c r="K71" s="77" t="str">
        <f ca="1">IF($D71="","",INDEX('Start List'!$E$15:$E$139,MATCH($D71,'Start List'!$B$15:$B$139,0)))</f>
        <v/>
      </c>
      <c r="L71" s="77" t="str">
        <f ca="1">IF($D71="","",INDEX('Start List'!$H$15:$H$139,MATCH($D71,'Start List'!$B$15:$B$139,0)))</f>
        <v/>
      </c>
      <c r="M71" s="79" t="str">
        <f ca="1">IF($D71="","",INDEX('Start List'!$F$15:$F$139,MATCH($D71,'Start List'!$B$15:$B$139,0)))</f>
        <v/>
      </c>
      <c r="N71" s="80" t="str">
        <f ca="1">IF($D71="","",INDEX('Start List'!K$15:K$139,MATCH($D71,'Start List'!$B$15:$B$139,0)))</f>
        <v/>
      </c>
      <c r="O71" s="80" t="str">
        <f ca="1">IF($D71="","",INDEX('Start List'!L$15:L$139,MATCH($D71,'Start List'!$B$15:$B$139,0)))</f>
        <v/>
      </c>
      <c r="P71" s="80" t="str">
        <f ca="1">IF($D71="","",INDEX('Start List'!M$15:M$139,MATCH($D71,'Start List'!$B$15:$B$139,0)))</f>
        <v/>
      </c>
      <c r="Q71" s="80" t="str">
        <f ca="1">IF($D71="","",INDEX('Start List'!N$15:N$139,MATCH($D71,'Start List'!$B$15:$B$139,0)))</f>
        <v/>
      </c>
      <c r="R71" s="80" t="str">
        <f ca="1">IF($D71="","",INDEX('Start List'!O$15:O$139,MATCH($D71,'Start List'!$B$15:$B$139,0)))</f>
        <v/>
      </c>
      <c r="S71" s="80" t="str">
        <f ca="1">IF($D71="","",INDEX('Start List'!P$15:P$139,MATCH($D71,'Start List'!$B$15:$B$139,0)))</f>
        <v/>
      </c>
      <c r="T71" s="80" t="str">
        <f ca="1">IF($D71="","",INDEX('Start List'!Q$15:Q$139,MATCH($D71,'Start List'!$B$15:$B$139,0)))</f>
        <v/>
      </c>
      <c r="U71" s="80" t="str">
        <f ca="1">IF($D71="","",INDEX('Start List'!R$15:R$139,MATCH($D71,'Start List'!$B$15:$B$139,0)))</f>
        <v/>
      </c>
      <c r="V71" s="80" t="str">
        <f ca="1">IF($D71="","",INDEX('Start List'!S$15:S$139,MATCH($D71,'Start List'!$B$15:$B$139,0)))</f>
        <v/>
      </c>
      <c r="W71" s="80" t="str">
        <f ca="1">IF($D71="","",INDEX('Start List'!T$15:T$139,MATCH($D71,'Start List'!$B$15:$B$139,0)))</f>
        <v/>
      </c>
      <c r="X71" s="80" t="str">
        <f ca="1">IF($D71="","",INDEX('Start List'!U$15:U$139,MATCH($D71,'Start List'!$B$15:$B$139,0)))</f>
        <v/>
      </c>
      <c r="Y71" s="80" t="str">
        <f ca="1">IF($D71="","",INDEX('Start List'!V$15:V$139,MATCH($D71,'Start List'!$B$15:$B$139,0)))</f>
        <v/>
      </c>
      <c r="Z71" s="80" t="str">
        <f ca="1">IF($D71="","",INDEX('Start List'!W$15:W$139,MATCH($D71,'Start List'!$B$15:$B$139,0)))</f>
        <v/>
      </c>
      <c r="AA71" s="80" t="str">
        <f ca="1">IF($D71="","",INDEX('Start List'!X$15:X$139,MATCH($D71,'Start List'!$B$15:$B$139,0)))</f>
        <v/>
      </c>
      <c r="AB71" s="80" t="str">
        <f ca="1">IF($D71="","",INDEX('Start List'!Y$15:Y$139,MATCH($D71,'Start List'!$B$15:$B$139,0)))</f>
        <v/>
      </c>
    </row>
    <row r="72" spans="1:28" ht="12.75" customHeight="1" x14ac:dyDescent="0.2">
      <c r="A72" s="59" t="str">
        <f>IF(OR(COUNT('Start List'!A:A)+COUNTIF('Start List'!$I$9:$I$14,"&lt;21")='By Category'!A71,A71=""),"",'By Category'!A71+1)</f>
        <v/>
      </c>
      <c r="B72" s="74" t="str">
        <f>IF(A72="","",VLOOKUP(SMALL('Start List'!$I$9:$I$139,A72),'Start List'!$I$9:$J$14,2,FALSE))</f>
        <v/>
      </c>
      <c r="C72" s="75" t="str">
        <f>IF(OR(B72="",COUNTIF($B$9:B72,B72)=1),"",COUNTIF($B$9:B72,B72)-1)</f>
        <v/>
      </c>
      <c r="D72" s="227" t="str">
        <f ca="1">IF(""=C72,"",LARGE(INDIRECT(VLOOKUP(B72,'Start List'!$J$9:$N$14,5,FALSE)),C72))</f>
        <v/>
      </c>
      <c r="E72" s="79" t="str">
        <f>IF(C72="","",VLOOKUP(B72,Data!$AK$2:$AN$7,4,FALSE)&amp;C72)</f>
        <v/>
      </c>
      <c r="F72" s="80" t="str">
        <f>IF(COUNTIF(Data!$D$2:$D$97,'By Category'!$E72)=0,"",VLOOKUP('By Category'!$E72,Data!$D$2:$H$97,'By Category'!F$8,FALSE))</f>
        <v/>
      </c>
      <c r="G72" s="80" t="str">
        <f>IF(COUNTIF(Data!$D$2:$D$97,'By Category'!$E72)=0,"",VLOOKUP('By Category'!$E72,Data!$D$2:$H$97,'By Category'!G$8,FALSE))</f>
        <v/>
      </c>
      <c r="H72" s="80" t="str">
        <f>IF(COUNTIF(Data!$D$2:$D$97,'By Category'!$E72)=0,"",VLOOKUP('By Category'!$E72,Data!$D$2:$H$97,'By Category'!H$8,FALSE))</f>
        <v/>
      </c>
      <c r="I72" s="80" t="str">
        <f>IF(COUNTIF(Data!$D$2:$D$97,'By Category'!$E72)=0,"",VLOOKUP('By Category'!$E72,Data!$D$2:$H$97,'By Category'!I$8,FALSE))</f>
        <v/>
      </c>
      <c r="J72" s="77" t="str">
        <f ca="1">IF(B72&lt;&gt;B71,B72,IF($D72="","",INDEX('Start List'!$D$15:$D$139,MATCH($D72,'Start List'!$B$15:$B$139,0))))</f>
        <v/>
      </c>
      <c r="K72" s="77" t="str">
        <f ca="1">IF($D72="","",INDEX('Start List'!$E$15:$E$139,MATCH($D72,'Start List'!$B$15:$B$139,0)))</f>
        <v/>
      </c>
      <c r="L72" s="77" t="str">
        <f ca="1">IF($D72="","",INDEX('Start List'!$H$15:$H$139,MATCH($D72,'Start List'!$B$15:$B$139,0)))</f>
        <v/>
      </c>
      <c r="M72" s="79" t="str">
        <f ca="1">IF($D72="","",INDEX('Start List'!$F$15:$F$139,MATCH($D72,'Start List'!$B$15:$B$139,0)))</f>
        <v/>
      </c>
      <c r="N72" s="80" t="str">
        <f ca="1">IF($D72="","",INDEX('Start List'!K$15:K$139,MATCH($D72,'Start List'!$B$15:$B$139,0)))</f>
        <v/>
      </c>
      <c r="O72" s="80" t="str">
        <f ca="1">IF($D72="","",INDEX('Start List'!L$15:L$139,MATCH($D72,'Start List'!$B$15:$B$139,0)))</f>
        <v/>
      </c>
      <c r="P72" s="80" t="str">
        <f ca="1">IF($D72="","",INDEX('Start List'!M$15:M$139,MATCH($D72,'Start List'!$B$15:$B$139,0)))</f>
        <v/>
      </c>
      <c r="Q72" s="80" t="str">
        <f ca="1">IF($D72="","",INDEX('Start List'!N$15:N$139,MATCH($D72,'Start List'!$B$15:$B$139,0)))</f>
        <v/>
      </c>
      <c r="R72" s="80" t="str">
        <f ca="1">IF($D72="","",INDEX('Start List'!O$15:O$139,MATCH($D72,'Start List'!$B$15:$B$139,0)))</f>
        <v/>
      </c>
      <c r="S72" s="80" t="str">
        <f ca="1">IF($D72="","",INDEX('Start List'!P$15:P$139,MATCH($D72,'Start List'!$B$15:$B$139,0)))</f>
        <v/>
      </c>
      <c r="T72" s="80" t="str">
        <f ca="1">IF($D72="","",INDEX('Start List'!Q$15:Q$139,MATCH($D72,'Start List'!$B$15:$B$139,0)))</f>
        <v/>
      </c>
      <c r="U72" s="80" t="str">
        <f ca="1">IF($D72="","",INDEX('Start List'!R$15:R$139,MATCH($D72,'Start List'!$B$15:$B$139,0)))</f>
        <v/>
      </c>
      <c r="V72" s="80" t="str">
        <f ca="1">IF($D72="","",INDEX('Start List'!S$15:S$139,MATCH($D72,'Start List'!$B$15:$B$139,0)))</f>
        <v/>
      </c>
      <c r="W72" s="80" t="str">
        <f ca="1">IF($D72="","",INDEX('Start List'!T$15:T$139,MATCH($D72,'Start List'!$B$15:$B$139,0)))</f>
        <v/>
      </c>
      <c r="X72" s="80" t="str">
        <f ca="1">IF($D72="","",INDEX('Start List'!U$15:U$139,MATCH($D72,'Start List'!$B$15:$B$139,0)))</f>
        <v/>
      </c>
      <c r="Y72" s="80" t="str">
        <f ca="1">IF($D72="","",INDEX('Start List'!V$15:V$139,MATCH($D72,'Start List'!$B$15:$B$139,0)))</f>
        <v/>
      </c>
      <c r="Z72" s="80" t="str">
        <f ca="1">IF($D72="","",INDEX('Start List'!W$15:W$139,MATCH($D72,'Start List'!$B$15:$B$139,0)))</f>
        <v/>
      </c>
      <c r="AA72" s="80" t="str">
        <f ca="1">IF($D72="","",INDEX('Start List'!X$15:X$139,MATCH($D72,'Start List'!$B$15:$B$139,0)))</f>
        <v/>
      </c>
      <c r="AB72" s="80" t="str">
        <f ca="1">IF($D72="","",INDEX('Start List'!Y$15:Y$139,MATCH($D72,'Start List'!$B$15:$B$139,0)))</f>
        <v/>
      </c>
    </row>
    <row r="73" spans="1:28" ht="12.75" customHeight="1" x14ac:dyDescent="0.2">
      <c r="A73" s="59" t="str">
        <f>IF(OR(COUNT('Start List'!A:A)+COUNTIF('Start List'!$I$9:$I$14,"&lt;21")='By Category'!A72,A72=""),"",'By Category'!A72+1)</f>
        <v/>
      </c>
      <c r="B73" s="74" t="str">
        <f>IF(A73="","",VLOOKUP(SMALL('Start List'!$I$9:$I$139,A73),'Start List'!$I$9:$J$14,2,FALSE))</f>
        <v/>
      </c>
      <c r="C73" s="75" t="str">
        <f>IF(OR(B73="",COUNTIF($B$9:B73,B73)=1),"",COUNTIF($B$9:B73,B73)-1)</f>
        <v/>
      </c>
      <c r="D73" s="227" t="str">
        <f ca="1">IF(""=C73,"",LARGE(INDIRECT(VLOOKUP(B73,'Start List'!$J$9:$N$14,5,FALSE)),C73))</f>
        <v/>
      </c>
      <c r="E73" s="79" t="str">
        <f>IF(C73="","",VLOOKUP(B73,Data!$AK$2:$AN$7,4,FALSE)&amp;C73)</f>
        <v/>
      </c>
      <c r="F73" s="80" t="str">
        <f>IF(COUNTIF(Data!$D$2:$D$97,'By Category'!$E73)=0,"",VLOOKUP('By Category'!$E73,Data!$D$2:$H$97,'By Category'!F$8,FALSE))</f>
        <v/>
      </c>
      <c r="G73" s="80" t="str">
        <f>IF(COUNTIF(Data!$D$2:$D$97,'By Category'!$E73)=0,"",VLOOKUP('By Category'!$E73,Data!$D$2:$H$97,'By Category'!G$8,FALSE))</f>
        <v/>
      </c>
      <c r="H73" s="80" t="str">
        <f>IF(COUNTIF(Data!$D$2:$D$97,'By Category'!$E73)=0,"",VLOOKUP('By Category'!$E73,Data!$D$2:$H$97,'By Category'!H$8,FALSE))</f>
        <v/>
      </c>
      <c r="I73" s="80" t="str">
        <f>IF(COUNTIF(Data!$D$2:$D$97,'By Category'!$E73)=0,"",VLOOKUP('By Category'!$E73,Data!$D$2:$H$97,'By Category'!I$8,FALSE))</f>
        <v/>
      </c>
      <c r="J73" s="77" t="str">
        <f ca="1">IF(B73&lt;&gt;B72,B73,IF($D73="","",INDEX('Start List'!$D$15:$D$139,MATCH($D73,'Start List'!$B$15:$B$139,0))))</f>
        <v/>
      </c>
      <c r="K73" s="77" t="str">
        <f ca="1">IF($D73="","",INDEX('Start List'!$E$15:$E$139,MATCH($D73,'Start List'!$B$15:$B$139,0)))</f>
        <v/>
      </c>
      <c r="L73" s="77" t="str">
        <f ca="1">IF($D73="","",INDEX('Start List'!$H$15:$H$139,MATCH($D73,'Start List'!$B$15:$B$139,0)))</f>
        <v/>
      </c>
      <c r="M73" s="79" t="str">
        <f ca="1">IF($D73="","",INDEX('Start List'!$F$15:$F$139,MATCH($D73,'Start List'!$B$15:$B$139,0)))</f>
        <v/>
      </c>
      <c r="N73" s="80" t="str">
        <f ca="1">IF($D73="","",INDEX('Start List'!K$15:K$139,MATCH($D73,'Start List'!$B$15:$B$139,0)))</f>
        <v/>
      </c>
      <c r="O73" s="80" t="str">
        <f ca="1">IF($D73="","",INDEX('Start List'!L$15:L$139,MATCH($D73,'Start List'!$B$15:$B$139,0)))</f>
        <v/>
      </c>
      <c r="P73" s="80" t="str">
        <f ca="1">IF($D73="","",INDEX('Start List'!M$15:M$139,MATCH($D73,'Start List'!$B$15:$B$139,0)))</f>
        <v/>
      </c>
      <c r="Q73" s="80" t="str">
        <f ca="1">IF($D73="","",INDEX('Start List'!N$15:N$139,MATCH($D73,'Start List'!$B$15:$B$139,0)))</f>
        <v/>
      </c>
      <c r="R73" s="80" t="str">
        <f ca="1">IF($D73="","",INDEX('Start List'!O$15:O$139,MATCH($D73,'Start List'!$B$15:$B$139,0)))</f>
        <v/>
      </c>
      <c r="S73" s="80" t="str">
        <f ca="1">IF($D73="","",INDEX('Start List'!P$15:P$139,MATCH($D73,'Start List'!$B$15:$B$139,0)))</f>
        <v/>
      </c>
      <c r="T73" s="80" t="str">
        <f ca="1">IF($D73="","",INDEX('Start List'!Q$15:Q$139,MATCH($D73,'Start List'!$B$15:$B$139,0)))</f>
        <v/>
      </c>
      <c r="U73" s="80" t="str">
        <f ca="1">IF($D73="","",INDEX('Start List'!R$15:R$139,MATCH($D73,'Start List'!$B$15:$B$139,0)))</f>
        <v/>
      </c>
      <c r="V73" s="80" t="str">
        <f ca="1">IF($D73="","",INDEX('Start List'!S$15:S$139,MATCH($D73,'Start List'!$B$15:$B$139,0)))</f>
        <v/>
      </c>
      <c r="W73" s="80" t="str">
        <f ca="1">IF($D73="","",INDEX('Start List'!T$15:T$139,MATCH($D73,'Start List'!$B$15:$B$139,0)))</f>
        <v/>
      </c>
      <c r="X73" s="80" t="str">
        <f ca="1">IF($D73="","",INDEX('Start List'!U$15:U$139,MATCH($D73,'Start List'!$B$15:$B$139,0)))</f>
        <v/>
      </c>
      <c r="Y73" s="80" t="str">
        <f ca="1">IF($D73="","",INDEX('Start List'!V$15:V$139,MATCH($D73,'Start List'!$B$15:$B$139,0)))</f>
        <v/>
      </c>
      <c r="Z73" s="80" t="str">
        <f ca="1">IF($D73="","",INDEX('Start List'!W$15:W$139,MATCH($D73,'Start List'!$B$15:$B$139,0)))</f>
        <v/>
      </c>
      <c r="AA73" s="80" t="str">
        <f ca="1">IF($D73="","",INDEX('Start List'!X$15:X$139,MATCH($D73,'Start List'!$B$15:$B$139,0)))</f>
        <v/>
      </c>
      <c r="AB73" s="80" t="str">
        <f ca="1">IF($D73="","",INDEX('Start List'!Y$15:Y$139,MATCH($D73,'Start List'!$B$15:$B$139,0)))</f>
        <v/>
      </c>
    </row>
    <row r="74" spans="1:28" ht="12.75" customHeight="1" x14ac:dyDescent="0.2">
      <c r="A74" s="59" t="str">
        <f>IF(OR(COUNT('Start List'!A:A)+COUNTIF('Start List'!$I$9:$I$14,"&lt;21")='By Category'!A73,A73=""),"",'By Category'!A73+1)</f>
        <v/>
      </c>
      <c r="B74" s="74" t="str">
        <f>IF(A74="","",VLOOKUP(SMALL('Start List'!$I$9:$I$139,A74),'Start List'!$I$9:$J$14,2,FALSE))</f>
        <v/>
      </c>
      <c r="C74" s="75" t="str">
        <f>IF(OR(B74="",COUNTIF($B$9:B74,B74)=1),"",COUNTIF($B$9:B74,B74)-1)</f>
        <v/>
      </c>
      <c r="D74" s="227" t="str">
        <f ca="1">IF(""=C74,"",LARGE(INDIRECT(VLOOKUP(B74,'Start List'!$J$9:$N$14,5,FALSE)),C74))</f>
        <v/>
      </c>
      <c r="E74" s="79" t="str">
        <f>IF(C74="","",VLOOKUP(B74,Data!$AK$2:$AN$7,4,FALSE)&amp;C74)</f>
        <v/>
      </c>
      <c r="F74" s="80" t="str">
        <f>IF(COUNTIF(Data!$D$2:$D$97,'By Category'!$E74)=0,"",VLOOKUP('By Category'!$E74,Data!$D$2:$H$97,'By Category'!F$8,FALSE))</f>
        <v/>
      </c>
      <c r="G74" s="80" t="str">
        <f>IF(COUNTIF(Data!$D$2:$D$97,'By Category'!$E74)=0,"",VLOOKUP('By Category'!$E74,Data!$D$2:$H$97,'By Category'!G$8,FALSE))</f>
        <v/>
      </c>
      <c r="H74" s="80" t="str">
        <f>IF(COUNTIF(Data!$D$2:$D$97,'By Category'!$E74)=0,"",VLOOKUP('By Category'!$E74,Data!$D$2:$H$97,'By Category'!H$8,FALSE))</f>
        <v/>
      </c>
      <c r="I74" s="80" t="str">
        <f>IF(COUNTIF(Data!$D$2:$D$97,'By Category'!$E74)=0,"",VLOOKUP('By Category'!$E74,Data!$D$2:$H$97,'By Category'!I$8,FALSE))</f>
        <v/>
      </c>
      <c r="J74" s="77" t="str">
        <f ca="1">IF(B74&lt;&gt;B73,B74,IF($D74="","",INDEX('Start List'!$D$15:$D$139,MATCH($D74,'Start List'!$B$15:$B$139,0))))</f>
        <v/>
      </c>
      <c r="K74" s="77" t="str">
        <f ca="1">IF($D74="","",INDEX('Start List'!$E$15:$E$139,MATCH($D74,'Start List'!$B$15:$B$139,0)))</f>
        <v/>
      </c>
      <c r="L74" s="77" t="str">
        <f ca="1">IF($D74="","",INDEX('Start List'!$H$15:$H$139,MATCH($D74,'Start List'!$B$15:$B$139,0)))</f>
        <v/>
      </c>
      <c r="M74" s="79" t="str">
        <f ca="1">IF($D74="","",INDEX('Start List'!$F$15:$F$139,MATCH($D74,'Start List'!$B$15:$B$139,0)))</f>
        <v/>
      </c>
      <c r="N74" s="80" t="str">
        <f ca="1">IF($D74="","",INDEX('Start List'!K$15:K$139,MATCH($D74,'Start List'!$B$15:$B$139,0)))</f>
        <v/>
      </c>
      <c r="O74" s="80" t="str">
        <f ca="1">IF($D74="","",INDEX('Start List'!L$15:L$139,MATCH($D74,'Start List'!$B$15:$B$139,0)))</f>
        <v/>
      </c>
      <c r="P74" s="80" t="str">
        <f ca="1">IF($D74="","",INDEX('Start List'!M$15:M$139,MATCH($D74,'Start List'!$B$15:$B$139,0)))</f>
        <v/>
      </c>
      <c r="Q74" s="80" t="str">
        <f ca="1">IF($D74="","",INDEX('Start List'!N$15:N$139,MATCH($D74,'Start List'!$B$15:$B$139,0)))</f>
        <v/>
      </c>
      <c r="R74" s="80" t="str">
        <f ca="1">IF($D74="","",INDEX('Start List'!O$15:O$139,MATCH($D74,'Start List'!$B$15:$B$139,0)))</f>
        <v/>
      </c>
      <c r="S74" s="80" t="str">
        <f ca="1">IF($D74="","",INDEX('Start List'!P$15:P$139,MATCH($D74,'Start List'!$B$15:$B$139,0)))</f>
        <v/>
      </c>
      <c r="T74" s="80" t="str">
        <f ca="1">IF($D74="","",INDEX('Start List'!Q$15:Q$139,MATCH($D74,'Start List'!$B$15:$B$139,0)))</f>
        <v/>
      </c>
      <c r="U74" s="80" t="str">
        <f ca="1">IF($D74="","",INDEX('Start List'!R$15:R$139,MATCH($D74,'Start List'!$B$15:$B$139,0)))</f>
        <v/>
      </c>
      <c r="V74" s="80" t="str">
        <f ca="1">IF($D74="","",INDEX('Start List'!S$15:S$139,MATCH($D74,'Start List'!$B$15:$B$139,0)))</f>
        <v/>
      </c>
      <c r="W74" s="80" t="str">
        <f ca="1">IF($D74="","",INDEX('Start List'!T$15:T$139,MATCH($D74,'Start List'!$B$15:$B$139,0)))</f>
        <v/>
      </c>
      <c r="X74" s="80" t="str">
        <f ca="1">IF($D74="","",INDEX('Start List'!U$15:U$139,MATCH($D74,'Start List'!$B$15:$B$139,0)))</f>
        <v/>
      </c>
      <c r="Y74" s="80" t="str">
        <f ca="1">IF($D74="","",INDEX('Start List'!V$15:V$139,MATCH($D74,'Start List'!$B$15:$B$139,0)))</f>
        <v/>
      </c>
      <c r="Z74" s="80" t="str">
        <f ca="1">IF($D74="","",INDEX('Start List'!W$15:W$139,MATCH($D74,'Start List'!$B$15:$B$139,0)))</f>
        <v/>
      </c>
      <c r="AA74" s="80" t="str">
        <f ca="1">IF($D74="","",INDEX('Start List'!X$15:X$139,MATCH($D74,'Start List'!$B$15:$B$139,0)))</f>
        <v/>
      </c>
      <c r="AB74" s="80" t="str">
        <f ca="1">IF($D74="","",INDEX('Start List'!Y$15:Y$139,MATCH($D74,'Start List'!$B$15:$B$139,0)))</f>
        <v/>
      </c>
    </row>
    <row r="75" spans="1:28" ht="12.75" customHeight="1" x14ac:dyDescent="0.2">
      <c r="A75" s="59" t="str">
        <f>IF(OR(COUNT('Start List'!A:A)+COUNTIF('Start List'!$I$9:$I$14,"&lt;21")='By Category'!A74,A74=""),"",'By Category'!A74+1)</f>
        <v/>
      </c>
      <c r="B75" s="74" t="str">
        <f>IF(A75="","",VLOOKUP(SMALL('Start List'!$I$9:$I$139,A75),'Start List'!$I$9:$J$14,2,FALSE))</f>
        <v/>
      </c>
      <c r="C75" s="75" t="str">
        <f>IF(OR(B75="",COUNTIF($B$9:B75,B75)=1),"",COUNTIF($B$9:B75,B75)-1)</f>
        <v/>
      </c>
      <c r="D75" s="227" t="str">
        <f ca="1">IF(""=C75,"",LARGE(INDIRECT(VLOOKUP(B75,'Start List'!$J$9:$N$14,5,FALSE)),C75))</f>
        <v/>
      </c>
      <c r="E75" s="79" t="str">
        <f>IF(C75="","",VLOOKUP(B75,Data!$AK$2:$AN$7,4,FALSE)&amp;C75)</f>
        <v/>
      </c>
      <c r="F75" s="80" t="str">
        <f>IF(COUNTIF(Data!$D$2:$D$97,'By Category'!$E75)=0,"",VLOOKUP('By Category'!$E75,Data!$D$2:$H$97,'By Category'!F$8,FALSE))</f>
        <v/>
      </c>
      <c r="G75" s="80" t="str">
        <f>IF(COUNTIF(Data!$D$2:$D$97,'By Category'!$E75)=0,"",VLOOKUP('By Category'!$E75,Data!$D$2:$H$97,'By Category'!G$8,FALSE))</f>
        <v/>
      </c>
      <c r="H75" s="80" t="str">
        <f>IF(COUNTIF(Data!$D$2:$D$97,'By Category'!$E75)=0,"",VLOOKUP('By Category'!$E75,Data!$D$2:$H$97,'By Category'!H$8,FALSE))</f>
        <v/>
      </c>
      <c r="I75" s="80" t="str">
        <f>IF(COUNTIF(Data!$D$2:$D$97,'By Category'!$E75)=0,"",VLOOKUP('By Category'!$E75,Data!$D$2:$H$97,'By Category'!I$8,FALSE))</f>
        <v/>
      </c>
      <c r="J75" s="77" t="str">
        <f ca="1">IF(B75&lt;&gt;B74,B75,IF($D75="","",INDEX('Start List'!$D$15:$D$139,MATCH($D75,'Start List'!$B$15:$B$139,0))))</f>
        <v/>
      </c>
      <c r="K75" s="77" t="str">
        <f ca="1">IF($D75="","",INDEX('Start List'!$E$15:$E$139,MATCH($D75,'Start List'!$B$15:$B$139,0)))</f>
        <v/>
      </c>
      <c r="L75" s="77" t="str">
        <f ca="1">IF($D75="","",INDEX('Start List'!$H$15:$H$139,MATCH($D75,'Start List'!$B$15:$B$139,0)))</f>
        <v/>
      </c>
      <c r="M75" s="79" t="str">
        <f ca="1">IF($D75="","",INDEX('Start List'!$F$15:$F$139,MATCH($D75,'Start List'!$B$15:$B$139,0)))</f>
        <v/>
      </c>
      <c r="N75" s="80" t="str">
        <f ca="1">IF($D75="","",INDEX('Start List'!K$15:K$139,MATCH($D75,'Start List'!$B$15:$B$139,0)))</f>
        <v/>
      </c>
      <c r="O75" s="80" t="str">
        <f ca="1">IF($D75="","",INDEX('Start List'!L$15:L$139,MATCH($D75,'Start List'!$B$15:$B$139,0)))</f>
        <v/>
      </c>
      <c r="P75" s="80" t="str">
        <f ca="1">IF($D75="","",INDEX('Start List'!M$15:M$139,MATCH($D75,'Start List'!$B$15:$B$139,0)))</f>
        <v/>
      </c>
      <c r="Q75" s="80" t="str">
        <f ca="1">IF($D75="","",INDEX('Start List'!N$15:N$139,MATCH($D75,'Start List'!$B$15:$B$139,0)))</f>
        <v/>
      </c>
      <c r="R75" s="80" t="str">
        <f ca="1">IF($D75="","",INDEX('Start List'!O$15:O$139,MATCH($D75,'Start List'!$B$15:$B$139,0)))</f>
        <v/>
      </c>
      <c r="S75" s="80" t="str">
        <f ca="1">IF($D75="","",INDEX('Start List'!P$15:P$139,MATCH($D75,'Start List'!$B$15:$B$139,0)))</f>
        <v/>
      </c>
      <c r="T75" s="80" t="str">
        <f ca="1">IF($D75="","",INDEX('Start List'!Q$15:Q$139,MATCH($D75,'Start List'!$B$15:$B$139,0)))</f>
        <v/>
      </c>
      <c r="U75" s="80" t="str">
        <f ca="1">IF($D75="","",INDEX('Start List'!R$15:R$139,MATCH($D75,'Start List'!$B$15:$B$139,0)))</f>
        <v/>
      </c>
      <c r="V75" s="80" t="str">
        <f ca="1">IF($D75="","",INDEX('Start List'!S$15:S$139,MATCH($D75,'Start List'!$B$15:$B$139,0)))</f>
        <v/>
      </c>
      <c r="W75" s="80" t="str">
        <f ca="1">IF($D75="","",INDEX('Start List'!T$15:T$139,MATCH($D75,'Start List'!$B$15:$B$139,0)))</f>
        <v/>
      </c>
      <c r="X75" s="80" t="str">
        <f ca="1">IF($D75="","",INDEX('Start List'!U$15:U$139,MATCH($D75,'Start List'!$B$15:$B$139,0)))</f>
        <v/>
      </c>
      <c r="Y75" s="80" t="str">
        <f ca="1">IF($D75="","",INDEX('Start List'!V$15:V$139,MATCH($D75,'Start List'!$B$15:$B$139,0)))</f>
        <v/>
      </c>
      <c r="Z75" s="80" t="str">
        <f ca="1">IF($D75="","",INDEX('Start List'!W$15:W$139,MATCH($D75,'Start List'!$B$15:$B$139,0)))</f>
        <v/>
      </c>
      <c r="AA75" s="80" t="str">
        <f ca="1">IF($D75="","",INDEX('Start List'!X$15:X$139,MATCH($D75,'Start List'!$B$15:$B$139,0)))</f>
        <v/>
      </c>
      <c r="AB75" s="80" t="str">
        <f ca="1">IF($D75="","",INDEX('Start List'!Y$15:Y$139,MATCH($D75,'Start List'!$B$15:$B$139,0)))</f>
        <v/>
      </c>
    </row>
    <row r="76" spans="1:28" ht="12.75" x14ac:dyDescent="0.2">
      <c r="A76" s="59" t="str">
        <f>IF(OR(COUNT('Start List'!A:A)+COUNTIF('Start List'!$I$9:$I$14,"&lt;21")='By Category'!A75,A75=""),"",'By Category'!A75+1)</f>
        <v/>
      </c>
      <c r="B76" s="74" t="str">
        <f>IF(A76="","",VLOOKUP(SMALL('Start List'!$I$9:$I$139,A76),'Start List'!$I$9:$J$14,2,FALSE))</f>
        <v/>
      </c>
      <c r="C76" s="75" t="str">
        <f>IF(OR(B76="",COUNTIF($B$9:B76,B76)=1),"",COUNTIF($B$9:B76,B76)-1)</f>
        <v/>
      </c>
      <c r="D76" s="227" t="str">
        <f ca="1">IF(""=C76,"",LARGE(INDIRECT(VLOOKUP(B76,'Start List'!$J$9:$N$14,5,FALSE)),C76))</f>
        <v/>
      </c>
      <c r="E76" s="79" t="str">
        <f>IF(C76="","",VLOOKUP(B76,Data!$AK$2:$AN$7,4,FALSE)&amp;C76)</f>
        <v/>
      </c>
      <c r="F76" s="80" t="str">
        <f>IF(COUNTIF(Data!$D$2:$D$97,'By Category'!$E76)=0,"",VLOOKUP('By Category'!$E76,Data!$D$2:$H$97,'By Category'!F$8,FALSE))</f>
        <v/>
      </c>
      <c r="G76" s="80" t="str">
        <f>IF(COUNTIF(Data!$D$2:$D$97,'By Category'!$E76)=0,"",VLOOKUP('By Category'!$E76,Data!$D$2:$H$97,'By Category'!G$8,FALSE))</f>
        <v/>
      </c>
      <c r="H76" s="80" t="str">
        <f>IF(COUNTIF(Data!$D$2:$D$97,'By Category'!$E76)=0,"",VLOOKUP('By Category'!$E76,Data!$D$2:$H$97,'By Category'!H$8,FALSE))</f>
        <v/>
      </c>
      <c r="I76" s="80" t="str">
        <f>IF(COUNTIF(Data!$D$2:$D$97,'By Category'!$E76)=0,"",VLOOKUP('By Category'!$E76,Data!$D$2:$H$97,'By Category'!I$8,FALSE))</f>
        <v/>
      </c>
      <c r="J76" s="77" t="str">
        <f ca="1">IF(B76&lt;&gt;B75,B76,IF($D76="","",INDEX('Start List'!$D$15:$D$139,MATCH($D76,'Start List'!$B$15:$B$139,0))))</f>
        <v/>
      </c>
      <c r="K76" s="77" t="str">
        <f ca="1">IF($D76="","",INDEX('Start List'!$E$15:$E$139,MATCH($D76,'Start List'!$B$15:$B$139,0)))</f>
        <v/>
      </c>
      <c r="L76" s="77" t="str">
        <f ca="1">IF($D76="","",INDEX('Start List'!$H$15:$H$139,MATCH($D76,'Start List'!$B$15:$B$139,0)))</f>
        <v/>
      </c>
      <c r="M76" s="79" t="str">
        <f ca="1">IF($D76="","",INDEX('Start List'!$F$15:$F$139,MATCH($D76,'Start List'!$B$15:$B$139,0)))</f>
        <v/>
      </c>
      <c r="N76" s="80" t="str">
        <f ca="1">IF($D76="","",INDEX('Start List'!K$15:K$139,MATCH($D76,'Start List'!$B$15:$B$139,0)))</f>
        <v/>
      </c>
      <c r="O76" s="80" t="str">
        <f ca="1">IF($D76="","",INDEX('Start List'!L$15:L$139,MATCH($D76,'Start List'!$B$15:$B$139,0)))</f>
        <v/>
      </c>
      <c r="P76" s="80" t="str">
        <f ca="1">IF($D76="","",INDEX('Start List'!M$15:M$139,MATCH($D76,'Start List'!$B$15:$B$139,0)))</f>
        <v/>
      </c>
      <c r="Q76" s="80" t="str">
        <f ca="1">IF($D76="","",INDEX('Start List'!N$15:N$139,MATCH($D76,'Start List'!$B$15:$B$139,0)))</f>
        <v/>
      </c>
      <c r="R76" s="80" t="str">
        <f ca="1">IF($D76="","",INDEX('Start List'!O$15:O$139,MATCH($D76,'Start List'!$B$15:$B$139,0)))</f>
        <v/>
      </c>
      <c r="S76" s="80" t="str">
        <f ca="1">IF($D76="","",INDEX('Start List'!P$15:P$139,MATCH($D76,'Start List'!$B$15:$B$139,0)))</f>
        <v/>
      </c>
      <c r="T76" s="80" t="str">
        <f ca="1">IF($D76="","",INDEX('Start List'!Q$15:Q$139,MATCH($D76,'Start List'!$B$15:$B$139,0)))</f>
        <v/>
      </c>
      <c r="U76" s="80" t="str">
        <f ca="1">IF($D76="","",INDEX('Start List'!R$15:R$139,MATCH($D76,'Start List'!$B$15:$B$139,0)))</f>
        <v/>
      </c>
      <c r="V76" s="80" t="str">
        <f ca="1">IF($D76="","",INDEX('Start List'!S$15:S$139,MATCH($D76,'Start List'!$B$15:$B$139,0)))</f>
        <v/>
      </c>
      <c r="W76" s="80" t="str">
        <f ca="1">IF($D76="","",INDEX('Start List'!T$15:T$139,MATCH($D76,'Start List'!$B$15:$B$139,0)))</f>
        <v/>
      </c>
      <c r="X76" s="80" t="str">
        <f ca="1">IF($D76="","",INDEX('Start List'!U$15:U$139,MATCH($D76,'Start List'!$B$15:$B$139,0)))</f>
        <v/>
      </c>
      <c r="Y76" s="80" t="str">
        <f ca="1">IF($D76="","",INDEX('Start List'!V$15:V$139,MATCH($D76,'Start List'!$B$15:$B$139,0)))</f>
        <v/>
      </c>
      <c r="Z76" s="80" t="str">
        <f ca="1">IF($D76="","",INDEX('Start List'!W$15:W$139,MATCH($D76,'Start List'!$B$15:$B$139,0)))</f>
        <v/>
      </c>
      <c r="AA76" s="80" t="str">
        <f ca="1">IF($D76="","",INDEX('Start List'!X$15:X$139,MATCH($D76,'Start List'!$B$15:$B$139,0)))</f>
        <v/>
      </c>
      <c r="AB76" s="80" t="str">
        <f ca="1">IF($D76="","",INDEX('Start List'!Y$15:Y$139,MATCH($D76,'Start List'!$B$15:$B$139,0)))</f>
        <v/>
      </c>
    </row>
    <row r="77" spans="1:28" ht="12.75" x14ac:dyDescent="0.2">
      <c r="A77" s="59" t="str">
        <f>IF(OR(COUNT('Start List'!A:A)+COUNTIF('Start List'!$I$9:$I$14,"&lt;21")='By Category'!A76,A76=""),"",'By Category'!A76+1)</f>
        <v/>
      </c>
      <c r="B77" s="74" t="str">
        <f>IF(A77="","",VLOOKUP(SMALL('Start List'!$I$9:$I$139,A77),'Start List'!$I$9:$J$14,2,FALSE))</f>
        <v/>
      </c>
      <c r="C77" s="75" t="str">
        <f>IF(OR(B77="",COUNTIF($B$9:B77,B77)=1),"",COUNTIF($B$9:B77,B77)-1)</f>
        <v/>
      </c>
      <c r="D77" s="227" t="str">
        <f ca="1">IF(""=C77,"",LARGE(INDIRECT(VLOOKUP(B77,'Start List'!$J$9:$N$14,5,FALSE)),C77))</f>
        <v/>
      </c>
      <c r="E77" s="79" t="str">
        <f>IF(C77="","",VLOOKUP(B77,Data!$AK$2:$AN$7,4,FALSE)&amp;C77)</f>
        <v/>
      </c>
      <c r="F77" s="80" t="str">
        <f>IF(COUNTIF(Data!$D$2:$D$97,'By Category'!$E77)=0,"",VLOOKUP('By Category'!$E77,Data!$D$2:$H$97,'By Category'!F$8,FALSE))</f>
        <v/>
      </c>
      <c r="G77" s="80" t="str">
        <f>IF(COUNTIF(Data!$D$2:$D$97,'By Category'!$E77)=0,"",VLOOKUP('By Category'!$E77,Data!$D$2:$H$97,'By Category'!G$8,FALSE))</f>
        <v/>
      </c>
      <c r="H77" s="80" t="str">
        <f>IF(COUNTIF(Data!$D$2:$D$97,'By Category'!$E77)=0,"",VLOOKUP('By Category'!$E77,Data!$D$2:$H$97,'By Category'!H$8,FALSE))</f>
        <v/>
      </c>
      <c r="I77" s="80" t="str">
        <f>IF(COUNTIF(Data!$D$2:$D$97,'By Category'!$E77)=0,"",VLOOKUP('By Category'!$E77,Data!$D$2:$H$97,'By Category'!I$8,FALSE))</f>
        <v/>
      </c>
      <c r="J77" s="77" t="str">
        <f ca="1">IF(B77&lt;&gt;B76,B77,IF($D77="","",INDEX('Start List'!$D$15:$D$139,MATCH($D77,'Start List'!$B$15:$B$139,0))))</f>
        <v/>
      </c>
      <c r="K77" s="77" t="str">
        <f ca="1">IF($D77="","",INDEX('Start List'!$E$15:$E$139,MATCH($D77,'Start List'!$B$15:$B$139,0)))</f>
        <v/>
      </c>
      <c r="L77" s="77" t="str">
        <f ca="1">IF($D77="","",INDEX('Start List'!$H$15:$H$139,MATCH($D77,'Start List'!$B$15:$B$139,0)))</f>
        <v/>
      </c>
      <c r="M77" s="79" t="str">
        <f ca="1">IF($D77="","",INDEX('Start List'!$F$15:$F$139,MATCH($D77,'Start List'!$B$15:$B$139,0)))</f>
        <v/>
      </c>
      <c r="N77" s="80" t="str">
        <f ca="1">IF($D77="","",INDEX('Start List'!K$15:K$139,MATCH($D77,'Start List'!$B$15:$B$139,0)))</f>
        <v/>
      </c>
      <c r="O77" s="80" t="str">
        <f ca="1">IF($D77="","",INDEX('Start List'!L$15:L$139,MATCH($D77,'Start List'!$B$15:$B$139,0)))</f>
        <v/>
      </c>
      <c r="P77" s="80" t="str">
        <f ca="1">IF($D77="","",INDEX('Start List'!M$15:M$139,MATCH($D77,'Start List'!$B$15:$B$139,0)))</f>
        <v/>
      </c>
      <c r="Q77" s="80" t="str">
        <f ca="1">IF($D77="","",INDEX('Start List'!N$15:N$139,MATCH($D77,'Start List'!$B$15:$B$139,0)))</f>
        <v/>
      </c>
      <c r="R77" s="80" t="str">
        <f ca="1">IF($D77="","",INDEX('Start List'!O$15:O$139,MATCH($D77,'Start List'!$B$15:$B$139,0)))</f>
        <v/>
      </c>
      <c r="S77" s="80" t="str">
        <f ca="1">IF($D77="","",INDEX('Start List'!P$15:P$139,MATCH($D77,'Start List'!$B$15:$B$139,0)))</f>
        <v/>
      </c>
      <c r="T77" s="80" t="str">
        <f ca="1">IF($D77="","",INDEX('Start List'!Q$15:Q$139,MATCH($D77,'Start List'!$B$15:$B$139,0)))</f>
        <v/>
      </c>
      <c r="U77" s="80" t="str">
        <f ca="1">IF($D77="","",INDEX('Start List'!R$15:R$139,MATCH($D77,'Start List'!$B$15:$B$139,0)))</f>
        <v/>
      </c>
      <c r="V77" s="80" t="str">
        <f ca="1">IF($D77="","",INDEX('Start List'!S$15:S$139,MATCH($D77,'Start List'!$B$15:$B$139,0)))</f>
        <v/>
      </c>
      <c r="W77" s="80" t="str">
        <f ca="1">IF($D77="","",INDEX('Start List'!T$15:T$139,MATCH($D77,'Start List'!$B$15:$B$139,0)))</f>
        <v/>
      </c>
      <c r="X77" s="80" t="str">
        <f ca="1">IF($D77="","",INDEX('Start List'!U$15:U$139,MATCH($D77,'Start List'!$B$15:$B$139,0)))</f>
        <v/>
      </c>
      <c r="Y77" s="80" t="str">
        <f ca="1">IF($D77="","",INDEX('Start List'!V$15:V$139,MATCH($D77,'Start List'!$B$15:$B$139,0)))</f>
        <v/>
      </c>
      <c r="Z77" s="80" t="str">
        <f ca="1">IF($D77="","",INDEX('Start List'!W$15:W$139,MATCH($D77,'Start List'!$B$15:$B$139,0)))</f>
        <v/>
      </c>
      <c r="AA77" s="80" t="str">
        <f ca="1">IF($D77="","",INDEX('Start List'!X$15:X$139,MATCH($D77,'Start List'!$B$15:$B$139,0)))</f>
        <v/>
      </c>
      <c r="AB77" s="80" t="str">
        <f ca="1">IF($D77="","",INDEX('Start List'!Y$15:Y$139,MATCH($D77,'Start List'!$B$15:$B$139,0)))</f>
        <v/>
      </c>
    </row>
    <row r="78" spans="1:28" ht="12.75" x14ac:dyDescent="0.2">
      <c r="A78" s="59" t="str">
        <f>IF(OR(COUNT('Start List'!A:A)+COUNTIF('Start List'!$I$9:$I$14,"&lt;21")='By Category'!A77,A77=""),"",'By Category'!A77+1)</f>
        <v/>
      </c>
      <c r="B78" s="74" t="str">
        <f>IF(A78="","",VLOOKUP(SMALL('Start List'!$I$9:$I$139,A78),'Start List'!$I$9:$J$14,2,FALSE))</f>
        <v/>
      </c>
      <c r="C78" s="75" t="str">
        <f>IF(OR(B78="",COUNTIF($B$9:B78,B78)=1),"",COUNTIF($B$9:B78,B78)-1)</f>
        <v/>
      </c>
      <c r="D78" s="227" t="str">
        <f ca="1">IF(""=C78,"",LARGE(INDIRECT(VLOOKUP(B78,'Start List'!$J$9:$N$14,5,FALSE)),C78))</f>
        <v/>
      </c>
      <c r="E78" s="79" t="str">
        <f>IF(C78="","",VLOOKUP(B78,Data!$AK$2:$AN$7,4,FALSE)&amp;C78)</f>
        <v/>
      </c>
      <c r="F78" s="80" t="str">
        <f>IF(COUNTIF(Data!$D$2:$D$97,'By Category'!$E78)=0,"",VLOOKUP('By Category'!$E78,Data!$D$2:$H$97,'By Category'!F$8,FALSE))</f>
        <v/>
      </c>
      <c r="G78" s="80" t="str">
        <f>IF(COUNTIF(Data!$D$2:$D$97,'By Category'!$E78)=0,"",VLOOKUP('By Category'!$E78,Data!$D$2:$H$97,'By Category'!G$8,FALSE))</f>
        <v/>
      </c>
      <c r="H78" s="80" t="str">
        <f>IF(COUNTIF(Data!$D$2:$D$97,'By Category'!$E78)=0,"",VLOOKUP('By Category'!$E78,Data!$D$2:$H$97,'By Category'!H$8,FALSE))</f>
        <v/>
      </c>
      <c r="I78" s="80" t="str">
        <f>IF(COUNTIF(Data!$D$2:$D$97,'By Category'!$E78)=0,"",VLOOKUP('By Category'!$E78,Data!$D$2:$H$97,'By Category'!I$8,FALSE))</f>
        <v/>
      </c>
      <c r="J78" s="77" t="str">
        <f ca="1">IF(B78&lt;&gt;B77,B78,IF($D78="","",INDEX('Start List'!$D$15:$D$139,MATCH($D78,'Start List'!$B$15:$B$139,0))))</f>
        <v/>
      </c>
      <c r="K78" s="77" t="str">
        <f ca="1">IF($D78="","",INDEX('Start List'!$E$15:$E$139,MATCH($D78,'Start List'!$B$15:$B$139,0)))</f>
        <v/>
      </c>
      <c r="L78" s="77" t="str">
        <f ca="1">IF($D78="","",INDEX('Start List'!$H$15:$H$139,MATCH($D78,'Start List'!$B$15:$B$139,0)))</f>
        <v/>
      </c>
      <c r="M78" s="79" t="str">
        <f ca="1">IF($D78="","",INDEX('Start List'!$F$15:$F$139,MATCH($D78,'Start List'!$B$15:$B$139,0)))</f>
        <v/>
      </c>
      <c r="N78" s="80" t="str">
        <f ca="1">IF($D78="","",INDEX('Start List'!K$15:K$139,MATCH($D78,'Start List'!$B$15:$B$139,0)))</f>
        <v/>
      </c>
      <c r="O78" s="80" t="str">
        <f ca="1">IF($D78="","",INDEX('Start List'!L$15:L$139,MATCH($D78,'Start List'!$B$15:$B$139,0)))</f>
        <v/>
      </c>
      <c r="P78" s="80" t="str">
        <f ca="1">IF($D78="","",INDEX('Start List'!M$15:M$139,MATCH($D78,'Start List'!$B$15:$B$139,0)))</f>
        <v/>
      </c>
      <c r="Q78" s="80" t="str">
        <f ca="1">IF($D78="","",INDEX('Start List'!N$15:N$139,MATCH($D78,'Start List'!$B$15:$B$139,0)))</f>
        <v/>
      </c>
      <c r="R78" s="80" t="str">
        <f ca="1">IF($D78="","",INDEX('Start List'!O$15:O$139,MATCH($D78,'Start List'!$B$15:$B$139,0)))</f>
        <v/>
      </c>
      <c r="S78" s="80" t="str">
        <f ca="1">IF($D78="","",INDEX('Start List'!P$15:P$139,MATCH($D78,'Start List'!$B$15:$B$139,0)))</f>
        <v/>
      </c>
      <c r="T78" s="80" t="str">
        <f ca="1">IF($D78="","",INDEX('Start List'!Q$15:Q$139,MATCH($D78,'Start List'!$B$15:$B$139,0)))</f>
        <v/>
      </c>
      <c r="U78" s="80" t="str">
        <f ca="1">IF($D78="","",INDEX('Start List'!R$15:R$139,MATCH($D78,'Start List'!$B$15:$B$139,0)))</f>
        <v/>
      </c>
      <c r="V78" s="80" t="str">
        <f ca="1">IF($D78="","",INDEX('Start List'!S$15:S$139,MATCH($D78,'Start List'!$B$15:$B$139,0)))</f>
        <v/>
      </c>
      <c r="W78" s="80" t="str">
        <f ca="1">IF($D78="","",INDEX('Start List'!T$15:T$139,MATCH($D78,'Start List'!$B$15:$B$139,0)))</f>
        <v/>
      </c>
      <c r="X78" s="80" t="str">
        <f ca="1">IF($D78="","",INDEX('Start List'!U$15:U$139,MATCH($D78,'Start List'!$B$15:$B$139,0)))</f>
        <v/>
      </c>
      <c r="Y78" s="80" t="str">
        <f ca="1">IF($D78="","",INDEX('Start List'!V$15:V$139,MATCH($D78,'Start List'!$B$15:$B$139,0)))</f>
        <v/>
      </c>
      <c r="Z78" s="80" t="str">
        <f ca="1">IF($D78="","",INDEX('Start List'!W$15:W$139,MATCH($D78,'Start List'!$B$15:$B$139,0)))</f>
        <v/>
      </c>
      <c r="AA78" s="80" t="str">
        <f ca="1">IF($D78="","",INDEX('Start List'!X$15:X$139,MATCH($D78,'Start List'!$B$15:$B$139,0)))</f>
        <v/>
      </c>
      <c r="AB78" s="80" t="str">
        <f ca="1">IF($D78="","",INDEX('Start List'!Y$15:Y$139,MATCH($D78,'Start List'!$B$15:$B$139,0)))</f>
        <v/>
      </c>
    </row>
    <row r="79" spans="1:28" ht="12.75" x14ac:dyDescent="0.2">
      <c r="A79" s="59" t="str">
        <f>IF(OR(COUNT('Start List'!A:A)+COUNTIF('Start List'!$I$9:$I$14,"&lt;21")='By Category'!A78,A78=""),"",'By Category'!A78+1)</f>
        <v/>
      </c>
      <c r="B79" s="74" t="str">
        <f>IF(A79="","",VLOOKUP(SMALL('Start List'!$I$9:$I$139,A79),'Start List'!$I$9:$J$14,2,FALSE))</f>
        <v/>
      </c>
      <c r="C79" s="75" t="str">
        <f>IF(OR(B79="",COUNTIF($B$9:B79,B79)=1),"",COUNTIF($B$9:B79,B79)-1)</f>
        <v/>
      </c>
      <c r="D79" s="227" t="str">
        <f ca="1">IF(""=C79,"",LARGE(INDIRECT(VLOOKUP(B79,'Start List'!$J$9:$N$14,5,FALSE)),C79))</f>
        <v/>
      </c>
      <c r="E79" s="79" t="str">
        <f>IF(C79="","",VLOOKUP(B79,Data!$AK$2:$AN$7,4,FALSE)&amp;C79)</f>
        <v/>
      </c>
      <c r="F79" s="80" t="str">
        <f>IF(COUNTIF(Data!$D$2:$D$97,'By Category'!$E79)=0,"",VLOOKUP('By Category'!$E79,Data!$D$2:$H$97,'By Category'!F$8,FALSE))</f>
        <v/>
      </c>
      <c r="G79" s="80" t="str">
        <f>IF(COUNTIF(Data!$D$2:$D$97,'By Category'!$E79)=0,"",VLOOKUP('By Category'!$E79,Data!$D$2:$H$97,'By Category'!G$8,FALSE))</f>
        <v/>
      </c>
      <c r="H79" s="80" t="str">
        <f>IF(COUNTIF(Data!$D$2:$D$97,'By Category'!$E79)=0,"",VLOOKUP('By Category'!$E79,Data!$D$2:$H$97,'By Category'!H$8,FALSE))</f>
        <v/>
      </c>
      <c r="I79" s="80" t="str">
        <f>IF(COUNTIF(Data!$D$2:$D$97,'By Category'!$E79)=0,"",VLOOKUP('By Category'!$E79,Data!$D$2:$H$97,'By Category'!I$8,FALSE))</f>
        <v/>
      </c>
      <c r="J79" s="77" t="str">
        <f ca="1">IF(B79&lt;&gt;B78,B79,IF($D79="","",INDEX('Start List'!$D$15:$D$139,MATCH($D79,'Start List'!$B$15:$B$139,0))))</f>
        <v/>
      </c>
      <c r="K79" s="77" t="str">
        <f ca="1">IF($D79="","",INDEX('Start List'!$E$15:$E$139,MATCH($D79,'Start List'!$B$15:$B$139,0)))</f>
        <v/>
      </c>
      <c r="L79" s="77" t="str">
        <f ca="1">IF($D79="","",INDEX('Start List'!$H$15:$H$139,MATCH($D79,'Start List'!$B$15:$B$139,0)))</f>
        <v/>
      </c>
      <c r="M79" s="79" t="str">
        <f ca="1">IF($D79="","",INDEX('Start List'!$F$15:$F$139,MATCH($D79,'Start List'!$B$15:$B$139,0)))</f>
        <v/>
      </c>
      <c r="N79" s="80" t="str">
        <f ca="1">IF($D79="","",INDEX('Start List'!K$15:K$139,MATCH($D79,'Start List'!$B$15:$B$139,0)))</f>
        <v/>
      </c>
      <c r="O79" s="80" t="str">
        <f ca="1">IF($D79="","",INDEX('Start List'!L$15:L$139,MATCH($D79,'Start List'!$B$15:$B$139,0)))</f>
        <v/>
      </c>
      <c r="P79" s="80" t="str">
        <f ca="1">IF($D79="","",INDEX('Start List'!M$15:M$139,MATCH($D79,'Start List'!$B$15:$B$139,0)))</f>
        <v/>
      </c>
      <c r="Q79" s="80" t="str">
        <f ca="1">IF($D79="","",INDEX('Start List'!N$15:N$139,MATCH($D79,'Start List'!$B$15:$B$139,0)))</f>
        <v/>
      </c>
      <c r="R79" s="80" t="str">
        <f ca="1">IF($D79="","",INDEX('Start List'!O$15:O$139,MATCH($D79,'Start List'!$B$15:$B$139,0)))</f>
        <v/>
      </c>
      <c r="S79" s="80" t="str">
        <f ca="1">IF($D79="","",INDEX('Start List'!P$15:P$139,MATCH($D79,'Start List'!$B$15:$B$139,0)))</f>
        <v/>
      </c>
      <c r="T79" s="80" t="str">
        <f ca="1">IF($D79="","",INDEX('Start List'!Q$15:Q$139,MATCH($D79,'Start List'!$B$15:$B$139,0)))</f>
        <v/>
      </c>
      <c r="U79" s="80" t="str">
        <f ca="1">IF($D79="","",INDEX('Start List'!R$15:R$139,MATCH($D79,'Start List'!$B$15:$B$139,0)))</f>
        <v/>
      </c>
      <c r="V79" s="80" t="str">
        <f ca="1">IF($D79="","",INDEX('Start List'!S$15:S$139,MATCH($D79,'Start List'!$B$15:$B$139,0)))</f>
        <v/>
      </c>
      <c r="W79" s="80" t="str">
        <f ca="1">IF($D79="","",INDEX('Start List'!T$15:T$139,MATCH($D79,'Start List'!$B$15:$B$139,0)))</f>
        <v/>
      </c>
      <c r="X79" s="80" t="str">
        <f ca="1">IF($D79="","",INDEX('Start List'!U$15:U$139,MATCH($D79,'Start List'!$B$15:$B$139,0)))</f>
        <v/>
      </c>
      <c r="Y79" s="80" t="str">
        <f ca="1">IF($D79="","",INDEX('Start List'!V$15:V$139,MATCH($D79,'Start List'!$B$15:$B$139,0)))</f>
        <v/>
      </c>
      <c r="Z79" s="80" t="str">
        <f ca="1">IF($D79="","",INDEX('Start List'!W$15:W$139,MATCH($D79,'Start List'!$B$15:$B$139,0)))</f>
        <v/>
      </c>
      <c r="AA79" s="80" t="str">
        <f ca="1">IF($D79="","",INDEX('Start List'!X$15:X$139,MATCH($D79,'Start List'!$B$15:$B$139,0)))</f>
        <v/>
      </c>
      <c r="AB79" s="80" t="str">
        <f ca="1">IF($D79="","",INDEX('Start List'!Y$15:Y$139,MATCH($D79,'Start List'!$B$15:$B$139,0)))</f>
        <v/>
      </c>
    </row>
    <row r="80" spans="1:28" ht="12.75" x14ac:dyDescent="0.2">
      <c r="A80" s="59" t="str">
        <f>IF(OR(COUNT('Start List'!A:A)+COUNTIF('Start List'!$I$9:$I$14,"&lt;21")='By Category'!A79,A79=""),"",'By Category'!A79+1)</f>
        <v/>
      </c>
      <c r="B80" s="74" t="str">
        <f>IF(A80="","",VLOOKUP(SMALL('Start List'!$I$9:$I$139,A80),'Start List'!$I$9:$J$14,2,FALSE))</f>
        <v/>
      </c>
      <c r="C80" s="75" t="str">
        <f>IF(OR(B80="",COUNTIF($B$9:B80,B80)=1),"",COUNTIF($B$9:B80,B80)-1)</f>
        <v/>
      </c>
      <c r="D80" s="227" t="str">
        <f ca="1">IF(""=C80,"",LARGE(INDIRECT(VLOOKUP(B80,'Start List'!$J$9:$N$14,5,FALSE)),C80))</f>
        <v/>
      </c>
      <c r="E80" s="79" t="str">
        <f>IF(C80="","",VLOOKUP(B80,Data!$AK$2:$AN$7,4,FALSE)&amp;C80)</f>
        <v/>
      </c>
      <c r="F80" s="80" t="str">
        <f>IF(COUNTIF(Data!$D$2:$D$97,'By Category'!$E80)=0,"",VLOOKUP('By Category'!$E80,Data!$D$2:$H$97,'By Category'!F$8,FALSE))</f>
        <v/>
      </c>
      <c r="G80" s="80" t="str">
        <f>IF(COUNTIF(Data!$D$2:$D$97,'By Category'!$E80)=0,"",VLOOKUP('By Category'!$E80,Data!$D$2:$H$97,'By Category'!G$8,FALSE))</f>
        <v/>
      </c>
      <c r="H80" s="80" t="str">
        <f>IF(COUNTIF(Data!$D$2:$D$97,'By Category'!$E80)=0,"",VLOOKUP('By Category'!$E80,Data!$D$2:$H$97,'By Category'!H$8,FALSE))</f>
        <v/>
      </c>
      <c r="I80" s="80" t="str">
        <f>IF(COUNTIF(Data!$D$2:$D$97,'By Category'!$E80)=0,"",VLOOKUP('By Category'!$E80,Data!$D$2:$H$97,'By Category'!I$8,FALSE))</f>
        <v/>
      </c>
      <c r="J80" s="77" t="str">
        <f ca="1">IF(B80&lt;&gt;B79,B80,IF($D80="","",INDEX('Start List'!$D$15:$D$139,MATCH($D80,'Start List'!$B$15:$B$139,0))))</f>
        <v/>
      </c>
      <c r="K80" s="77" t="str">
        <f ca="1">IF($D80="","",INDEX('Start List'!$E$15:$E$139,MATCH($D80,'Start List'!$B$15:$B$139,0)))</f>
        <v/>
      </c>
      <c r="L80" s="77" t="str">
        <f ca="1">IF($D80="","",INDEX('Start List'!$H$15:$H$139,MATCH($D80,'Start List'!$B$15:$B$139,0)))</f>
        <v/>
      </c>
      <c r="M80" s="79" t="str">
        <f ca="1">IF($D80="","",INDEX('Start List'!$F$15:$F$139,MATCH($D80,'Start List'!$B$15:$B$139,0)))</f>
        <v/>
      </c>
      <c r="N80" s="80" t="str">
        <f ca="1">IF($D80="","",INDEX('Start List'!K$15:K$139,MATCH($D80,'Start List'!$B$15:$B$139,0)))</f>
        <v/>
      </c>
      <c r="O80" s="80" t="str">
        <f ca="1">IF($D80="","",INDEX('Start List'!L$15:L$139,MATCH($D80,'Start List'!$B$15:$B$139,0)))</f>
        <v/>
      </c>
      <c r="P80" s="80" t="str">
        <f ca="1">IF($D80="","",INDEX('Start List'!M$15:M$139,MATCH($D80,'Start List'!$B$15:$B$139,0)))</f>
        <v/>
      </c>
      <c r="Q80" s="80" t="str">
        <f ca="1">IF($D80="","",INDEX('Start List'!N$15:N$139,MATCH($D80,'Start List'!$B$15:$B$139,0)))</f>
        <v/>
      </c>
      <c r="R80" s="80" t="str">
        <f ca="1">IF($D80="","",INDEX('Start List'!O$15:O$139,MATCH($D80,'Start List'!$B$15:$B$139,0)))</f>
        <v/>
      </c>
      <c r="S80" s="80" t="str">
        <f ca="1">IF($D80="","",INDEX('Start List'!P$15:P$139,MATCH($D80,'Start List'!$B$15:$B$139,0)))</f>
        <v/>
      </c>
      <c r="T80" s="80" t="str">
        <f ca="1">IF($D80="","",INDEX('Start List'!Q$15:Q$139,MATCH($D80,'Start List'!$B$15:$B$139,0)))</f>
        <v/>
      </c>
      <c r="U80" s="80" t="str">
        <f ca="1">IF($D80="","",INDEX('Start List'!R$15:R$139,MATCH($D80,'Start List'!$B$15:$B$139,0)))</f>
        <v/>
      </c>
      <c r="V80" s="80" t="str">
        <f ca="1">IF($D80="","",INDEX('Start List'!S$15:S$139,MATCH($D80,'Start List'!$B$15:$B$139,0)))</f>
        <v/>
      </c>
      <c r="W80" s="80" t="str">
        <f ca="1">IF($D80="","",INDEX('Start List'!T$15:T$139,MATCH($D80,'Start List'!$B$15:$B$139,0)))</f>
        <v/>
      </c>
      <c r="X80" s="80" t="str">
        <f ca="1">IF($D80="","",INDEX('Start List'!U$15:U$139,MATCH($D80,'Start List'!$B$15:$B$139,0)))</f>
        <v/>
      </c>
      <c r="Y80" s="80" t="str">
        <f ca="1">IF($D80="","",INDEX('Start List'!V$15:V$139,MATCH($D80,'Start List'!$B$15:$B$139,0)))</f>
        <v/>
      </c>
      <c r="Z80" s="80" t="str">
        <f ca="1">IF($D80="","",INDEX('Start List'!W$15:W$139,MATCH($D80,'Start List'!$B$15:$B$139,0)))</f>
        <v/>
      </c>
      <c r="AA80" s="80" t="str">
        <f ca="1">IF($D80="","",INDEX('Start List'!X$15:X$139,MATCH($D80,'Start List'!$B$15:$B$139,0)))</f>
        <v/>
      </c>
      <c r="AB80" s="80" t="str">
        <f ca="1">IF($D80="","",INDEX('Start List'!Y$15:Y$139,MATCH($D80,'Start List'!$B$15:$B$139,0)))</f>
        <v/>
      </c>
    </row>
    <row r="81" spans="1:28" ht="12.75" x14ac:dyDescent="0.2">
      <c r="A81" s="59" t="str">
        <f>IF(OR(COUNT('Start List'!A:A)+COUNTIF('Start List'!$I$9:$I$14,"&lt;21")='By Category'!A80,A80=""),"",'By Category'!A80+1)</f>
        <v/>
      </c>
      <c r="B81" s="74" t="str">
        <f>IF(A81="","",VLOOKUP(SMALL('Start List'!$I$9:$I$139,A81),'Start List'!$I$9:$J$14,2,FALSE))</f>
        <v/>
      </c>
      <c r="C81" s="75" t="str">
        <f>IF(OR(B81="",COUNTIF($B$9:B81,B81)=1),"",COUNTIF($B$9:B81,B81)-1)</f>
        <v/>
      </c>
      <c r="D81" s="227" t="str">
        <f ca="1">IF(""=C81,"",LARGE(INDIRECT(VLOOKUP(B81,'Start List'!$J$9:$N$14,5,FALSE)),C81))</f>
        <v/>
      </c>
      <c r="E81" s="79" t="str">
        <f>IF(C81="","",VLOOKUP(B81,Data!$AK$2:$AN$7,4,FALSE)&amp;C81)</f>
        <v/>
      </c>
      <c r="F81" s="80" t="str">
        <f>IF(COUNTIF(Data!$D$2:$D$97,'By Category'!$E81)=0,"",VLOOKUP('By Category'!$E81,Data!$D$2:$H$97,'By Category'!F$8,FALSE))</f>
        <v/>
      </c>
      <c r="G81" s="80" t="str">
        <f>IF(COUNTIF(Data!$D$2:$D$97,'By Category'!$E81)=0,"",VLOOKUP('By Category'!$E81,Data!$D$2:$H$97,'By Category'!G$8,FALSE))</f>
        <v/>
      </c>
      <c r="H81" s="80" t="str">
        <f>IF(COUNTIF(Data!$D$2:$D$97,'By Category'!$E81)=0,"",VLOOKUP('By Category'!$E81,Data!$D$2:$H$97,'By Category'!H$8,FALSE))</f>
        <v/>
      </c>
      <c r="I81" s="80" t="str">
        <f>IF(COUNTIF(Data!$D$2:$D$97,'By Category'!$E81)=0,"",VLOOKUP('By Category'!$E81,Data!$D$2:$H$97,'By Category'!I$8,FALSE))</f>
        <v/>
      </c>
      <c r="J81" s="77" t="str">
        <f ca="1">IF(B81&lt;&gt;B80,B81,IF($D81="","",INDEX('Start List'!$D$15:$D$139,MATCH($D81,'Start List'!$B$15:$B$139,0))))</f>
        <v/>
      </c>
      <c r="K81" s="77" t="str">
        <f ca="1">IF($D81="","",INDEX('Start List'!$E$15:$E$139,MATCH($D81,'Start List'!$B$15:$B$139,0)))</f>
        <v/>
      </c>
      <c r="L81" s="77" t="str">
        <f ca="1">IF($D81="","",INDEX('Start List'!$H$15:$H$139,MATCH($D81,'Start List'!$B$15:$B$139,0)))</f>
        <v/>
      </c>
      <c r="M81" s="79" t="str">
        <f ca="1">IF($D81="","",INDEX('Start List'!$F$15:$F$139,MATCH($D81,'Start List'!$B$15:$B$139,0)))</f>
        <v/>
      </c>
      <c r="N81" s="80" t="str">
        <f ca="1">IF($D81="","",INDEX('Start List'!K$15:K$139,MATCH($D81,'Start List'!$B$15:$B$139,0)))</f>
        <v/>
      </c>
      <c r="O81" s="80" t="str">
        <f ca="1">IF($D81="","",INDEX('Start List'!L$15:L$139,MATCH($D81,'Start List'!$B$15:$B$139,0)))</f>
        <v/>
      </c>
      <c r="P81" s="80" t="str">
        <f ca="1">IF($D81="","",INDEX('Start List'!M$15:M$139,MATCH($D81,'Start List'!$B$15:$B$139,0)))</f>
        <v/>
      </c>
      <c r="Q81" s="80" t="str">
        <f ca="1">IF($D81="","",INDEX('Start List'!N$15:N$139,MATCH($D81,'Start List'!$B$15:$B$139,0)))</f>
        <v/>
      </c>
      <c r="R81" s="80" t="str">
        <f ca="1">IF($D81="","",INDEX('Start List'!O$15:O$139,MATCH($D81,'Start List'!$B$15:$B$139,0)))</f>
        <v/>
      </c>
      <c r="S81" s="80" t="str">
        <f ca="1">IF($D81="","",INDEX('Start List'!P$15:P$139,MATCH($D81,'Start List'!$B$15:$B$139,0)))</f>
        <v/>
      </c>
      <c r="T81" s="80" t="str">
        <f ca="1">IF($D81="","",INDEX('Start List'!Q$15:Q$139,MATCH($D81,'Start List'!$B$15:$B$139,0)))</f>
        <v/>
      </c>
      <c r="U81" s="80" t="str">
        <f ca="1">IF($D81="","",INDEX('Start List'!R$15:R$139,MATCH($D81,'Start List'!$B$15:$B$139,0)))</f>
        <v/>
      </c>
      <c r="V81" s="80" t="str">
        <f ca="1">IF($D81="","",INDEX('Start List'!S$15:S$139,MATCH($D81,'Start List'!$B$15:$B$139,0)))</f>
        <v/>
      </c>
      <c r="W81" s="80" t="str">
        <f ca="1">IF($D81="","",INDEX('Start List'!T$15:T$139,MATCH($D81,'Start List'!$B$15:$B$139,0)))</f>
        <v/>
      </c>
      <c r="X81" s="80" t="str">
        <f ca="1">IF($D81="","",INDEX('Start List'!U$15:U$139,MATCH($D81,'Start List'!$B$15:$B$139,0)))</f>
        <v/>
      </c>
      <c r="Y81" s="80" t="str">
        <f ca="1">IF($D81="","",INDEX('Start List'!V$15:V$139,MATCH($D81,'Start List'!$B$15:$B$139,0)))</f>
        <v/>
      </c>
      <c r="Z81" s="80" t="str">
        <f ca="1">IF($D81="","",INDEX('Start List'!W$15:W$139,MATCH($D81,'Start List'!$B$15:$B$139,0)))</f>
        <v/>
      </c>
      <c r="AA81" s="80" t="str">
        <f ca="1">IF($D81="","",INDEX('Start List'!X$15:X$139,MATCH($D81,'Start List'!$B$15:$B$139,0)))</f>
        <v/>
      </c>
      <c r="AB81" s="80" t="str">
        <f ca="1">IF($D81="","",INDEX('Start List'!Y$15:Y$139,MATCH($D81,'Start List'!$B$15:$B$139,0)))</f>
        <v/>
      </c>
    </row>
    <row r="82" spans="1:28" ht="12.75" x14ac:dyDescent="0.2">
      <c r="A82" s="59" t="str">
        <f>IF(OR(COUNT('Start List'!A:A)+COUNTIF('Start List'!$I$9:$I$14,"&lt;21")='By Category'!A81,A81=""),"",'By Category'!A81+1)</f>
        <v/>
      </c>
      <c r="B82" s="74" t="str">
        <f>IF(A82="","",VLOOKUP(SMALL('Start List'!$I$9:$I$139,A82),'Start List'!$I$9:$J$14,2,FALSE))</f>
        <v/>
      </c>
      <c r="C82" s="75" t="str">
        <f>IF(OR(B82="",COUNTIF($B$9:B82,B82)=1),"",COUNTIF($B$9:B82,B82)-1)</f>
        <v/>
      </c>
      <c r="D82" s="227" t="str">
        <f ca="1">IF(""=C82,"",LARGE(INDIRECT(VLOOKUP(B82,'Start List'!$J$9:$N$14,5,FALSE)),C82))</f>
        <v/>
      </c>
      <c r="E82" s="79" t="str">
        <f>IF(C82="","",VLOOKUP(B82,Data!$AK$2:$AN$7,4,FALSE)&amp;C82)</f>
        <v/>
      </c>
      <c r="F82" s="80" t="str">
        <f>IF(COUNTIF(Data!$D$2:$D$97,'By Category'!$E82)=0,"",VLOOKUP('By Category'!$E82,Data!$D$2:$H$97,'By Category'!F$8,FALSE))</f>
        <v/>
      </c>
      <c r="G82" s="80" t="str">
        <f>IF(COUNTIF(Data!$D$2:$D$97,'By Category'!$E82)=0,"",VLOOKUP('By Category'!$E82,Data!$D$2:$H$97,'By Category'!G$8,FALSE))</f>
        <v/>
      </c>
      <c r="H82" s="80" t="str">
        <f>IF(COUNTIF(Data!$D$2:$D$97,'By Category'!$E82)=0,"",VLOOKUP('By Category'!$E82,Data!$D$2:$H$97,'By Category'!H$8,FALSE))</f>
        <v/>
      </c>
      <c r="I82" s="80" t="str">
        <f>IF(COUNTIF(Data!$D$2:$D$97,'By Category'!$E82)=0,"",VLOOKUP('By Category'!$E82,Data!$D$2:$H$97,'By Category'!I$8,FALSE))</f>
        <v/>
      </c>
      <c r="J82" s="77" t="str">
        <f ca="1">IF(B82&lt;&gt;B81,B82,IF($D82="","",INDEX('Start List'!$D$15:$D$139,MATCH($D82,'Start List'!$B$15:$B$139,0))))</f>
        <v/>
      </c>
      <c r="K82" s="77" t="str">
        <f ca="1">IF($D82="","",INDEX('Start List'!$E$15:$E$139,MATCH($D82,'Start List'!$B$15:$B$139,0)))</f>
        <v/>
      </c>
      <c r="L82" s="77" t="str">
        <f ca="1">IF($D82="","",INDEX('Start List'!$H$15:$H$139,MATCH($D82,'Start List'!$B$15:$B$139,0)))</f>
        <v/>
      </c>
      <c r="M82" s="79" t="str">
        <f ca="1">IF($D82="","",INDEX('Start List'!$F$15:$F$139,MATCH($D82,'Start List'!$B$15:$B$139,0)))</f>
        <v/>
      </c>
      <c r="N82" s="80" t="str">
        <f ca="1">IF($D82="","",INDEX('Start List'!K$15:K$139,MATCH($D82,'Start List'!$B$15:$B$139,0)))</f>
        <v/>
      </c>
      <c r="O82" s="80" t="str">
        <f ca="1">IF($D82="","",INDEX('Start List'!L$15:L$139,MATCH($D82,'Start List'!$B$15:$B$139,0)))</f>
        <v/>
      </c>
      <c r="P82" s="80" t="str">
        <f ca="1">IF($D82="","",INDEX('Start List'!M$15:M$139,MATCH($D82,'Start List'!$B$15:$B$139,0)))</f>
        <v/>
      </c>
      <c r="Q82" s="80" t="str">
        <f ca="1">IF($D82="","",INDEX('Start List'!N$15:N$139,MATCH($D82,'Start List'!$B$15:$B$139,0)))</f>
        <v/>
      </c>
      <c r="R82" s="80" t="str">
        <f ca="1">IF($D82="","",INDEX('Start List'!O$15:O$139,MATCH($D82,'Start List'!$B$15:$B$139,0)))</f>
        <v/>
      </c>
      <c r="S82" s="80" t="str">
        <f ca="1">IF($D82="","",INDEX('Start List'!P$15:P$139,MATCH($D82,'Start List'!$B$15:$B$139,0)))</f>
        <v/>
      </c>
      <c r="T82" s="80" t="str">
        <f ca="1">IF($D82="","",INDEX('Start List'!Q$15:Q$139,MATCH($D82,'Start List'!$B$15:$B$139,0)))</f>
        <v/>
      </c>
      <c r="U82" s="80" t="str">
        <f ca="1">IF($D82="","",INDEX('Start List'!R$15:R$139,MATCH($D82,'Start List'!$B$15:$B$139,0)))</f>
        <v/>
      </c>
      <c r="V82" s="80" t="str">
        <f ca="1">IF($D82="","",INDEX('Start List'!S$15:S$139,MATCH($D82,'Start List'!$B$15:$B$139,0)))</f>
        <v/>
      </c>
      <c r="W82" s="80" t="str">
        <f ca="1">IF($D82="","",INDEX('Start List'!T$15:T$139,MATCH($D82,'Start List'!$B$15:$B$139,0)))</f>
        <v/>
      </c>
      <c r="X82" s="80" t="str">
        <f ca="1">IF($D82="","",INDEX('Start List'!U$15:U$139,MATCH($D82,'Start List'!$B$15:$B$139,0)))</f>
        <v/>
      </c>
      <c r="Y82" s="80" t="str">
        <f ca="1">IF($D82="","",INDEX('Start List'!V$15:V$139,MATCH($D82,'Start List'!$B$15:$B$139,0)))</f>
        <v/>
      </c>
      <c r="Z82" s="80" t="str">
        <f ca="1">IF($D82="","",INDEX('Start List'!W$15:W$139,MATCH($D82,'Start List'!$B$15:$B$139,0)))</f>
        <v/>
      </c>
      <c r="AA82" s="80" t="str">
        <f ca="1">IF($D82="","",INDEX('Start List'!X$15:X$139,MATCH($D82,'Start List'!$B$15:$B$139,0)))</f>
        <v/>
      </c>
      <c r="AB82" s="80" t="str">
        <f ca="1">IF($D82="","",INDEX('Start List'!Y$15:Y$139,MATCH($D82,'Start List'!$B$15:$B$139,0)))</f>
        <v/>
      </c>
    </row>
    <row r="83" spans="1:28" ht="12.75" x14ac:dyDescent="0.2">
      <c r="A83" s="59" t="str">
        <f>IF(OR(COUNT('Start List'!A:A)+COUNTIF('Start List'!$I$9:$I$14,"&lt;21")='By Category'!A82,A82=""),"",'By Category'!A82+1)</f>
        <v/>
      </c>
      <c r="B83" s="74" t="str">
        <f>IF(A83="","",VLOOKUP(SMALL('Start List'!$I$9:$I$139,A83),'Start List'!$I$9:$J$14,2,FALSE))</f>
        <v/>
      </c>
      <c r="C83" s="75" t="str">
        <f>IF(OR(B83="",COUNTIF($B$9:B83,B83)=1),"",COUNTIF($B$9:B83,B83)-1)</f>
        <v/>
      </c>
      <c r="D83" s="227" t="str">
        <f ca="1">IF(""=C83,"",LARGE(INDIRECT(VLOOKUP(B83,'Start List'!$J$9:$N$14,5,FALSE)),C83))</f>
        <v/>
      </c>
      <c r="E83" s="79" t="str">
        <f>IF(C83="","",VLOOKUP(B83,Data!$AK$2:$AN$7,4,FALSE)&amp;C83)</f>
        <v/>
      </c>
      <c r="F83" s="80" t="str">
        <f>IF(COUNTIF(Data!$D$2:$D$97,'By Category'!$E83)=0,"",VLOOKUP('By Category'!$E83,Data!$D$2:$H$97,'By Category'!F$8,FALSE))</f>
        <v/>
      </c>
      <c r="G83" s="80" t="str">
        <f>IF(COUNTIF(Data!$D$2:$D$97,'By Category'!$E83)=0,"",VLOOKUP('By Category'!$E83,Data!$D$2:$H$97,'By Category'!G$8,FALSE))</f>
        <v/>
      </c>
      <c r="H83" s="80" t="str">
        <f>IF(COUNTIF(Data!$D$2:$D$97,'By Category'!$E83)=0,"",VLOOKUP('By Category'!$E83,Data!$D$2:$H$97,'By Category'!H$8,FALSE))</f>
        <v/>
      </c>
      <c r="I83" s="80" t="str">
        <f>IF(COUNTIF(Data!$D$2:$D$97,'By Category'!$E83)=0,"",VLOOKUP('By Category'!$E83,Data!$D$2:$H$97,'By Category'!I$8,FALSE))</f>
        <v/>
      </c>
      <c r="J83" s="77" t="str">
        <f ca="1">IF(B83&lt;&gt;B82,B83,IF($D83="","",INDEX('Start List'!$D$15:$D$139,MATCH($D83,'Start List'!$B$15:$B$139,0))))</f>
        <v/>
      </c>
      <c r="K83" s="77" t="str">
        <f ca="1">IF($D83="","",INDEX('Start List'!$E$15:$E$139,MATCH($D83,'Start List'!$B$15:$B$139,0)))</f>
        <v/>
      </c>
      <c r="L83" s="77" t="str">
        <f ca="1">IF($D83="","",INDEX('Start List'!$H$15:$H$139,MATCH($D83,'Start List'!$B$15:$B$139,0)))</f>
        <v/>
      </c>
      <c r="M83" s="79" t="str">
        <f ca="1">IF($D83="","",INDEX('Start List'!$F$15:$F$139,MATCH($D83,'Start List'!$B$15:$B$139,0)))</f>
        <v/>
      </c>
      <c r="N83" s="80" t="str">
        <f ca="1">IF($D83="","",INDEX('Start List'!K$15:K$139,MATCH($D83,'Start List'!$B$15:$B$139,0)))</f>
        <v/>
      </c>
      <c r="O83" s="80" t="str">
        <f ca="1">IF($D83="","",INDEX('Start List'!L$15:L$139,MATCH($D83,'Start List'!$B$15:$B$139,0)))</f>
        <v/>
      </c>
      <c r="P83" s="80" t="str">
        <f ca="1">IF($D83="","",INDEX('Start List'!M$15:M$139,MATCH($D83,'Start List'!$B$15:$B$139,0)))</f>
        <v/>
      </c>
      <c r="Q83" s="80" t="str">
        <f ca="1">IF($D83="","",INDEX('Start List'!N$15:N$139,MATCH($D83,'Start List'!$B$15:$B$139,0)))</f>
        <v/>
      </c>
      <c r="R83" s="80" t="str">
        <f ca="1">IF($D83="","",INDEX('Start List'!O$15:O$139,MATCH($D83,'Start List'!$B$15:$B$139,0)))</f>
        <v/>
      </c>
      <c r="S83" s="80" t="str">
        <f ca="1">IF($D83="","",INDEX('Start List'!P$15:P$139,MATCH($D83,'Start List'!$B$15:$B$139,0)))</f>
        <v/>
      </c>
      <c r="T83" s="80" t="str">
        <f ca="1">IF($D83="","",INDEX('Start List'!Q$15:Q$139,MATCH($D83,'Start List'!$B$15:$B$139,0)))</f>
        <v/>
      </c>
      <c r="U83" s="80" t="str">
        <f ca="1">IF($D83="","",INDEX('Start List'!R$15:R$139,MATCH($D83,'Start List'!$B$15:$B$139,0)))</f>
        <v/>
      </c>
      <c r="V83" s="80" t="str">
        <f ca="1">IF($D83="","",INDEX('Start List'!S$15:S$139,MATCH($D83,'Start List'!$B$15:$B$139,0)))</f>
        <v/>
      </c>
      <c r="W83" s="80" t="str">
        <f ca="1">IF($D83="","",INDEX('Start List'!T$15:T$139,MATCH($D83,'Start List'!$B$15:$B$139,0)))</f>
        <v/>
      </c>
      <c r="X83" s="80" t="str">
        <f ca="1">IF($D83="","",INDEX('Start List'!U$15:U$139,MATCH($D83,'Start List'!$B$15:$B$139,0)))</f>
        <v/>
      </c>
      <c r="Y83" s="80" t="str">
        <f ca="1">IF($D83="","",INDEX('Start List'!V$15:V$139,MATCH($D83,'Start List'!$B$15:$B$139,0)))</f>
        <v/>
      </c>
      <c r="Z83" s="80" t="str">
        <f ca="1">IF($D83="","",INDEX('Start List'!W$15:W$139,MATCH($D83,'Start List'!$B$15:$B$139,0)))</f>
        <v/>
      </c>
      <c r="AA83" s="80" t="str">
        <f ca="1">IF($D83="","",INDEX('Start List'!X$15:X$139,MATCH($D83,'Start List'!$B$15:$B$139,0)))</f>
        <v/>
      </c>
      <c r="AB83" s="80" t="str">
        <f ca="1">IF($D83="","",INDEX('Start List'!Y$15:Y$139,MATCH($D83,'Start List'!$B$15:$B$139,0)))</f>
        <v/>
      </c>
    </row>
    <row r="84" spans="1:28" ht="12.75" x14ac:dyDescent="0.2">
      <c r="A84" s="59" t="str">
        <f>IF(OR(COUNT('Start List'!A:A)+COUNTIF('Start List'!$I$9:$I$14,"&lt;21")='By Category'!A83,A83=""),"",'By Category'!A83+1)</f>
        <v/>
      </c>
      <c r="B84" s="74" t="str">
        <f>IF(A84="","",VLOOKUP(SMALL('Start List'!$I$9:$I$139,A84),'Start List'!$I$9:$J$14,2,FALSE))</f>
        <v/>
      </c>
      <c r="C84" s="75" t="str">
        <f>IF(OR(B84="",COUNTIF($B$9:B84,B84)=1),"",COUNTIF($B$9:B84,B84)-1)</f>
        <v/>
      </c>
      <c r="D84" s="227" t="str">
        <f ca="1">IF(""=C84,"",LARGE(INDIRECT(VLOOKUP(B84,'Start List'!$J$9:$N$14,5,FALSE)),C84))</f>
        <v/>
      </c>
      <c r="E84" s="79" t="str">
        <f>IF(C84="","",VLOOKUP(B84,Data!$AK$2:$AN$7,4,FALSE)&amp;C84)</f>
        <v/>
      </c>
      <c r="F84" s="80" t="str">
        <f>IF(COUNTIF(Data!$D$2:$D$97,'By Category'!$E84)=0,"",VLOOKUP('By Category'!$E84,Data!$D$2:$H$97,'By Category'!F$8,FALSE))</f>
        <v/>
      </c>
      <c r="G84" s="80" t="str">
        <f>IF(COUNTIF(Data!$D$2:$D$97,'By Category'!$E84)=0,"",VLOOKUP('By Category'!$E84,Data!$D$2:$H$97,'By Category'!G$8,FALSE))</f>
        <v/>
      </c>
      <c r="H84" s="80" t="str">
        <f>IF(COUNTIF(Data!$D$2:$D$97,'By Category'!$E84)=0,"",VLOOKUP('By Category'!$E84,Data!$D$2:$H$97,'By Category'!H$8,FALSE))</f>
        <v/>
      </c>
      <c r="I84" s="80" t="str">
        <f>IF(COUNTIF(Data!$D$2:$D$97,'By Category'!$E84)=0,"",VLOOKUP('By Category'!$E84,Data!$D$2:$H$97,'By Category'!I$8,FALSE))</f>
        <v/>
      </c>
      <c r="J84" s="77" t="str">
        <f ca="1">IF(B84&lt;&gt;B83,B84,IF($D84="","",INDEX('Start List'!$D$15:$D$139,MATCH($D84,'Start List'!$B$15:$B$139,0))))</f>
        <v/>
      </c>
      <c r="K84" s="77" t="str">
        <f ca="1">IF($D84="","",INDEX('Start List'!$E$15:$E$139,MATCH($D84,'Start List'!$B$15:$B$139,0)))</f>
        <v/>
      </c>
      <c r="L84" s="77" t="str">
        <f ca="1">IF($D84="","",INDEX('Start List'!$H$15:$H$139,MATCH($D84,'Start List'!$B$15:$B$139,0)))</f>
        <v/>
      </c>
      <c r="M84" s="79" t="str">
        <f ca="1">IF($D84="","",INDEX('Start List'!$F$15:$F$139,MATCH($D84,'Start List'!$B$15:$B$139,0)))</f>
        <v/>
      </c>
      <c r="N84" s="80" t="str">
        <f ca="1">IF($D84="","",INDEX('Start List'!K$15:K$139,MATCH($D84,'Start List'!$B$15:$B$139,0)))</f>
        <v/>
      </c>
      <c r="O84" s="80" t="str">
        <f ca="1">IF($D84="","",INDEX('Start List'!L$15:L$139,MATCH($D84,'Start List'!$B$15:$B$139,0)))</f>
        <v/>
      </c>
      <c r="P84" s="80" t="str">
        <f ca="1">IF($D84="","",INDEX('Start List'!M$15:M$139,MATCH($D84,'Start List'!$B$15:$B$139,0)))</f>
        <v/>
      </c>
      <c r="Q84" s="80" t="str">
        <f ca="1">IF($D84="","",INDEX('Start List'!N$15:N$139,MATCH($D84,'Start List'!$B$15:$B$139,0)))</f>
        <v/>
      </c>
      <c r="R84" s="80" t="str">
        <f ca="1">IF($D84="","",INDEX('Start List'!O$15:O$139,MATCH($D84,'Start List'!$B$15:$B$139,0)))</f>
        <v/>
      </c>
      <c r="S84" s="80" t="str">
        <f ca="1">IF($D84="","",INDEX('Start List'!P$15:P$139,MATCH($D84,'Start List'!$B$15:$B$139,0)))</f>
        <v/>
      </c>
      <c r="T84" s="80" t="str">
        <f ca="1">IF($D84="","",INDEX('Start List'!Q$15:Q$139,MATCH($D84,'Start List'!$B$15:$B$139,0)))</f>
        <v/>
      </c>
      <c r="U84" s="80" t="str">
        <f ca="1">IF($D84="","",INDEX('Start List'!R$15:R$139,MATCH($D84,'Start List'!$B$15:$B$139,0)))</f>
        <v/>
      </c>
      <c r="V84" s="80" t="str">
        <f ca="1">IF($D84="","",INDEX('Start List'!S$15:S$139,MATCH($D84,'Start List'!$B$15:$B$139,0)))</f>
        <v/>
      </c>
      <c r="W84" s="80" t="str">
        <f ca="1">IF($D84="","",INDEX('Start List'!T$15:T$139,MATCH($D84,'Start List'!$B$15:$B$139,0)))</f>
        <v/>
      </c>
      <c r="X84" s="80" t="str">
        <f ca="1">IF($D84="","",INDEX('Start List'!U$15:U$139,MATCH($D84,'Start List'!$B$15:$B$139,0)))</f>
        <v/>
      </c>
      <c r="Y84" s="80" t="str">
        <f ca="1">IF($D84="","",INDEX('Start List'!V$15:V$139,MATCH($D84,'Start List'!$B$15:$B$139,0)))</f>
        <v/>
      </c>
      <c r="Z84" s="80" t="str">
        <f ca="1">IF($D84="","",INDEX('Start List'!W$15:W$139,MATCH($D84,'Start List'!$B$15:$B$139,0)))</f>
        <v/>
      </c>
      <c r="AA84" s="80" t="str">
        <f ca="1">IF($D84="","",INDEX('Start List'!X$15:X$139,MATCH($D84,'Start List'!$B$15:$B$139,0)))</f>
        <v/>
      </c>
      <c r="AB84" s="80" t="str">
        <f ca="1">IF($D84="","",INDEX('Start List'!Y$15:Y$139,MATCH($D84,'Start List'!$B$15:$B$139,0)))</f>
        <v/>
      </c>
    </row>
    <row r="85" spans="1:28" ht="12.75" x14ac:dyDescent="0.2">
      <c r="A85" s="59" t="str">
        <f>IF(OR(COUNT('Start List'!A:A)+COUNTIF('Start List'!$I$9:$I$14,"&lt;21")='By Category'!A84,A84=""),"",'By Category'!A84+1)</f>
        <v/>
      </c>
      <c r="B85" s="74" t="str">
        <f>IF(A85="","",VLOOKUP(SMALL('Start List'!$I$9:$I$139,A85),'Start List'!$I$9:$J$14,2,FALSE))</f>
        <v/>
      </c>
      <c r="C85" s="75" t="str">
        <f>IF(OR(B85="",COUNTIF($B$9:B85,B85)=1),"",COUNTIF($B$9:B85,B85)-1)</f>
        <v/>
      </c>
      <c r="D85" s="227" t="str">
        <f ca="1">IF(""=C85,"",LARGE(INDIRECT(VLOOKUP(B85,'Start List'!$J$9:$N$14,5,FALSE)),C85))</f>
        <v/>
      </c>
      <c r="E85" s="79" t="str">
        <f>IF(C85="","",VLOOKUP(B85,Data!$AK$2:$AN$7,4,FALSE)&amp;C85)</f>
        <v/>
      </c>
      <c r="F85" s="80" t="str">
        <f>IF(COUNTIF(Data!$D$2:$D$97,'By Category'!$E85)=0,"",VLOOKUP('By Category'!$E85,Data!$D$2:$H$97,'By Category'!F$8,FALSE))</f>
        <v/>
      </c>
      <c r="G85" s="80" t="str">
        <f>IF(COUNTIF(Data!$D$2:$D$97,'By Category'!$E85)=0,"",VLOOKUP('By Category'!$E85,Data!$D$2:$H$97,'By Category'!G$8,FALSE))</f>
        <v/>
      </c>
      <c r="H85" s="80" t="str">
        <f>IF(COUNTIF(Data!$D$2:$D$97,'By Category'!$E85)=0,"",VLOOKUP('By Category'!$E85,Data!$D$2:$H$97,'By Category'!H$8,FALSE))</f>
        <v/>
      </c>
      <c r="I85" s="80" t="str">
        <f>IF(COUNTIF(Data!$D$2:$D$97,'By Category'!$E85)=0,"",VLOOKUP('By Category'!$E85,Data!$D$2:$H$97,'By Category'!I$8,FALSE))</f>
        <v/>
      </c>
      <c r="J85" s="77" t="str">
        <f ca="1">IF(B85&lt;&gt;B84,B85,IF($D85="","",INDEX('Start List'!$D$15:$D$139,MATCH($D85,'Start List'!$B$15:$B$139,0))))</f>
        <v/>
      </c>
      <c r="K85" s="77" t="str">
        <f ca="1">IF($D85="","",INDEX('Start List'!$E$15:$E$139,MATCH($D85,'Start List'!$B$15:$B$139,0)))</f>
        <v/>
      </c>
      <c r="L85" s="77" t="str">
        <f ca="1">IF($D85="","",INDEX('Start List'!$H$15:$H$139,MATCH($D85,'Start List'!$B$15:$B$139,0)))</f>
        <v/>
      </c>
      <c r="M85" s="79" t="str">
        <f ca="1">IF($D85="","",INDEX('Start List'!$F$15:$F$139,MATCH($D85,'Start List'!$B$15:$B$139,0)))</f>
        <v/>
      </c>
      <c r="N85" s="80" t="str">
        <f ca="1">IF($D85="","",INDEX('Start List'!K$15:K$139,MATCH($D85,'Start List'!$B$15:$B$139,0)))</f>
        <v/>
      </c>
      <c r="O85" s="80" t="str">
        <f ca="1">IF($D85="","",INDEX('Start List'!L$15:L$139,MATCH($D85,'Start List'!$B$15:$B$139,0)))</f>
        <v/>
      </c>
      <c r="P85" s="80" t="str">
        <f ca="1">IF($D85="","",INDEX('Start List'!M$15:M$139,MATCH($D85,'Start List'!$B$15:$B$139,0)))</f>
        <v/>
      </c>
      <c r="Q85" s="80" t="str">
        <f ca="1">IF($D85="","",INDEX('Start List'!N$15:N$139,MATCH($D85,'Start List'!$B$15:$B$139,0)))</f>
        <v/>
      </c>
      <c r="R85" s="80" t="str">
        <f ca="1">IF($D85="","",INDEX('Start List'!O$15:O$139,MATCH($D85,'Start List'!$B$15:$B$139,0)))</f>
        <v/>
      </c>
      <c r="S85" s="80" t="str">
        <f ca="1">IF($D85="","",INDEX('Start List'!P$15:P$139,MATCH($D85,'Start List'!$B$15:$B$139,0)))</f>
        <v/>
      </c>
      <c r="T85" s="80" t="str">
        <f ca="1">IF($D85="","",INDEX('Start List'!Q$15:Q$139,MATCH($D85,'Start List'!$B$15:$B$139,0)))</f>
        <v/>
      </c>
      <c r="U85" s="80" t="str">
        <f ca="1">IF($D85="","",INDEX('Start List'!R$15:R$139,MATCH($D85,'Start List'!$B$15:$B$139,0)))</f>
        <v/>
      </c>
      <c r="V85" s="80" t="str">
        <f ca="1">IF($D85="","",INDEX('Start List'!S$15:S$139,MATCH($D85,'Start List'!$B$15:$B$139,0)))</f>
        <v/>
      </c>
      <c r="W85" s="80" t="str">
        <f ca="1">IF($D85="","",INDEX('Start List'!T$15:T$139,MATCH($D85,'Start List'!$B$15:$B$139,0)))</f>
        <v/>
      </c>
      <c r="X85" s="80" t="str">
        <f ca="1">IF($D85="","",INDEX('Start List'!U$15:U$139,MATCH($D85,'Start List'!$B$15:$B$139,0)))</f>
        <v/>
      </c>
      <c r="Y85" s="80" t="str">
        <f ca="1">IF($D85="","",INDEX('Start List'!V$15:V$139,MATCH($D85,'Start List'!$B$15:$B$139,0)))</f>
        <v/>
      </c>
      <c r="Z85" s="80" t="str">
        <f ca="1">IF($D85="","",INDEX('Start List'!W$15:W$139,MATCH($D85,'Start List'!$B$15:$B$139,0)))</f>
        <v/>
      </c>
      <c r="AA85" s="80" t="str">
        <f ca="1">IF($D85="","",INDEX('Start List'!X$15:X$139,MATCH($D85,'Start List'!$B$15:$B$139,0)))</f>
        <v/>
      </c>
      <c r="AB85" s="80" t="str">
        <f ca="1">IF($D85="","",INDEX('Start List'!Y$15:Y$139,MATCH($D85,'Start List'!$B$15:$B$139,0)))</f>
        <v/>
      </c>
    </row>
    <row r="86" spans="1:28" ht="12.75" x14ac:dyDescent="0.2">
      <c r="A86" s="59" t="str">
        <f>IF(OR(COUNT('Start List'!A:A)+COUNTIF('Start List'!$I$9:$I$14,"&lt;21")='By Category'!A85,A85=""),"",'By Category'!A85+1)</f>
        <v/>
      </c>
      <c r="B86" s="74" t="str">
        <f>IF(A86="","",VLOOKUP(SMALL('Start List'!$I$9:$I$139,A86),'Start List'!$I$9:$J$14,2,FALSE))</f>
        <v/>
      </c>
      <c r="C86" s="75" t="str">
        <f>IF(OR(B86="",COUNTIF($B$9:B86,B86)=1),"",COUNTIF($B$9:B86,B86)-1)</f>
        <v/>
      </c>
      <c r="D86" s="227" t="str">
        <f ca="1">IF(""=C86,"",LARGE(INDIRECT(VLOOKUP(B86,'Start List'!$J$9:$N$14,5,FALSE)),C86))</f>
        <v/>
      </c>
      <c r="E86" s="79" t="str">
        <f>IF(C86="","",VLOOKUP(B86,Data!$AK$2:$AN$7,4,FALSE)&amp;C86)</f>
        <v/>
      </c>
      <c r="F86" s="80" t="str">
        <f>IF(COUNTIF(Data!$D$2:$D$97,'By Category'!$E86)=0,"",VLOOKUP('By Category'!$E86,Data!$D$2:$H$97,'By Category'!F$8,FALSE))</f>
        <v/>
      </c>
      <c r="G86" s="80" t="str">
        <f>IF(COUNTIF(Data!$D$2:$D$97,'By Category'!$E86)=0,"",VLOOKUP('By Category'!$E86,Data!$D$2:$H$97,'By Category'!G$8,FALSE))</f>
        <v/>
      </c>
      <c r="H86" s="80" t="str">
        <f>IF(COUNTIF(Data!$D$2:$D$97,'By Category'!$E86)=0,"",VLOOKUP('By Category'!$E86,Data!$D$2:$H$97,'By Category'!H$8,FALSE))</f>
        <v/>
      </c>
      <c r="I86" s="80" t="str">
        <f>IF(COUNTIF(Data!$D$2:$D$97,'By Category'!$E86)=0,"",VLOOKUP('By Category'!$E86,Data!$D$2:$H$97,'By Category'!I$8,FALSE))</f>
        <v/>
      </c>
      <c r="J86" s="77" t="str">
        <f ca="1">IF(B86&lt;&gt;B85,B86,IF($D86="","",INDEX('Start List'!$D$15:$D$139,MATCH($D86,'Start List'!$B$15:$B$139,0))))</f>
        <v/>
      </c>
      <c r="K86" s="77" t="str">
        <f ca="1">IF($D86="","",INDEX('Start List'!$E$15:$E$139,MATCH($D86,'Start List'!$B$15:$B$139,0)))</f>
        <v/>
      </c>
      <c r="L86" s="77" t="str">
        <f ca="1">IF($D86="","",INDEX('Start List'!$H$15:$H$139,MATCH($D86,'Start List'!$B$15:$B$139,0)))</f>
        <v/>
      </c>
      <c r="M86" s="79" t="str">
        <f ca="1">IF($D86="","",INDEX('Start List'!$F$15:$F$139,MATCH($D86,'Start List'!$B$15:$B$139,0)))</f>
        <v/>
      </c>
      <c r="N86" s="80" t="str">
        <f ca="1">IF($D86="","",INDEX('Start List'!K$15:K$139,MATCH($D86,'Start List'!$B$15:$B$139,0)))</f>
        <v/>
      </c>
      <c r="O86" s="80" t="str">
        <f ca="1">IF($D86="","",INDEX('Start List'!L$15:L$139,MATCH($D86,'Start List'!$B$15:$B$139,0)))</f>
        <v/>
      </c>
      <c r="P86" s="80" t="str">
        <f ca="1">IF($D86="","",INDEX('Start List'!M$15:M$139,MATCH($D86,'Start List'!$B$15:$B$139,0)))</f>
        <v/>
      </c>
      <c r="Q86" s="80" t="str">
        <f ca="1">IF($D86="","",INDEX('Start List'!N$15:N$139,MATCH($D86,'Start List'!$B$15:$B$139,0)))</f>
        <v/>
      </c>
      <c r="R86" s="80" t="str">
        <f ca="1">IF($D86="","",INDEX('Start List'!O$15:O$139,MATCH($D86,'Start List'!$B$15:$B$139,0)))</f>
        <v/>
      </c>
      <c r="S86" s="80" t="str">
        <f ca="1">IF($D86="","",INDEX('Start List'!P$15:P$139,MATCH($D86,'Start List'!$B$15:$B$139,0)))</f>
        <v/>
      </c>
      <c r="T86" s="80" t="str">
        <f ca="1">IF($D86="","",INDEX('Start List'!Q$15:Q$139,MATCH($D86,'Start List'!$B$15:$B$139,0)))</f>
        <v/>
      </c>
      <c r="U86" s="80" t="str">
        <f ca="1">IF($D86="","",INDEX('Start List'!R$15:R$139,MATCH($D86,'Start List'!$B$15:$B$139,0)))</f>
        <v/>
      </c>
      <c r="V86" s="80" t="str">
        <f ca="1">IF($D86="","",INDEX('Start List'!S$15:S$139,MATCH($D86,'Start List'!$B$15:$B$139,0)))</f>
        <v/>
      </c>
      <c r="W86" s="80" t="str">
        <f ca="1">IF($D86="","",INDEX('Start List'!T$15:T$139,MATCH($D86,'Start List'!$B$15:$B$139,0)))</f>
        <v/>
      </c>
      <c r="X86" s="80" t="str">
        <f ca="1">IF($D86="","",INDEX('Start List'!U$15:U$139,MATCH($D86,'Start List'!$B$15:$B$139,0)))</f>
        <v/>
      </c>
      <c r="Y86" s="80" t="str">
        <f ca="1">IF($D86="","",INDEX('Start List'!V$15:V$139,MATCH($D86,'Start List'!$B$15:$B$139,0)))</f>
        <v/>
      </c>
      <c r="Z86" s="80" t="str">
        <f ca="1">IF($D86="","",INDEX('Start List'!W$15:W$139,MATCH($D86,'Start List'!$B$15:$B$139,0)))</f>
        <v/>
      </c>
      <c r="AA86" s="80" t="str">
        <f ca="1">IF($D86="","",INDEX('Start List'!X$15:X$139,MATCH($D86,'Start List'!$B$15:$B$139,0)))</f>
        <v/>
      </c>
      <c r="AB86" s="80" t="str">
        <f ca="1">IF($D86="","",INDEX('Start List'!Y$15:Y$139,MATCH($D86,'Start List'!$B$15:$B$139,0)))</f>
        <v/>
      </c>
    </row>
    <row r="87" spans="1:28" ht="12.75" x14ac:dyDescent="0.2">
      <c r="A87" s="59" t="str">
        <f>IF(OR(COUNT('Start List'!A:A)+COUNTIF('Start List'!$I$9:$I$14,"&lt;21")='By Category'!A86,A86=""),"",'By Category'!A86+1)</f>
        <v/>
      </c>
      <c r="B87" s="74" t="str">
        <f>IF(A87="","",VLOOKUP(SMALL('Start List'!$I$9:$I$139,A87),'Start List'!$I$9:$J$14,2,FALSE))</f>
        <v/>
      </c>
      <c r="C87" s="75" t="str">
        <f>IF(OR(B87="",COUNTIF($B$9:B87,B87)=1),"",COUNTIF($B$9:B87,B87)-1)</f>
        <v/>
      </c>
      <c r="D87" s="227" t="str">
        <f ca="1">IF(""=C87,"",LARGE(INDIRECT(VLOOKUP(B87,'Start List'!$J$9:$N$14,5,FALSE)),C87))</f>
        <v/>
      </c>
      <c r="E87" s="79" t="str">
        <f>IF(C87="","",VLOOKUP(B87,Data!$AK$2:$AN$7,4,FALSE)&amp;C87)</f>
        <v/>
      </c>
      <c r="F87" s="80" t="str">
        <f>IF(COUNTIF(Data!$D$2:$D$97,'By Category'!$E87)=0,"",VLOOKUP('By Category'!$E87,Data!$D$2:$H$97,'By Category'!F$8,FALSE))</f>
        <v/>
      </c>
      <c r="G87" s="80" t="str">
        <f>IF(COUNTIF(Data!$D$2:$D$97,'By Category'!$E87)=0,"",VLOOKUP('By Category'!$E87,Data!$D$2:$H$97,'By Category'!G$8,FALSE))</f>
        <v/>
      </c>
      <c r="H87" s="80" t="str">
        <f>IF(COUNTIF(Data!$D$2:$D$97,'By Category'!$E87)=0,"",VLOOKUP('By Category'!$E87,Data!$D$2:$H$97,'By Category'!H$8,FALSE))</f>
        <v/>
      </c>
      <c r="I87" s="80" t="str">
        <f>IF(COUNTIF(Data!$D$2:$D$97,'By Category'!$E87)=0,"",VLOOKUP('By Category'!$E87,Data!$D$2:$H$97,'By Category'!I$8,FALSE))</f>
        <v/>
      </c>
      <c r="J87" s="77" t="str">
        <f ca="1">IF(B87&lt;&gt;B86,B87,IF($D87="","",INDEX('Start List'!$D$15:$D$139,MATCH($D87,'Start List'!$B$15:$B$139,0))))</f>
        <v/>
      </c>
      <c r="K87" s="77" t="str">
        <f ca="1">IF($D87="","",INDEX('Start List'!$E$15:$E$139,MATCH($D87,'Start List'!$B$15:$B$139,0)))</f>
        <v/>
      </c>
      <c r="L87" s="77" t="str">
        <f ca="1">IF($D87="","",INDEX('Start List'!$H$15:$H$139,MATCH($D87,'Start List'!$B$15:$B$139,0)))</f>
        <v/>
      </c>
      <c r="M87" s="79" t="str">
        <f ca="1">IF($D87="","",INDEX('Start List'!$F$15:$F$139,MATCH($D87,'Start List'!$B$15:$B$139,0)))</f>
        <v/>
      </c>
      <c r="N87" s="80" t="str">
        <f ca="1">IF($D87="","",INDEX('Start List'!K$15:K$139,MATCH($D87,'Start List'!$B$15:$B$139,0)))</f>
        <v/>
      </c>
      <c r="O87" s="80" t="str">
        <f ca="1">IF($D87="","",INDEX('Start List'!L$15:L$139,MATCH($D87,'Start List'!$B$15:$B$139,0)))</f>
        <v/>
      </c>
      <c r="P87" s="80" t="str">
        <f ca="1">IF($D87="","",INDEX('Start List'!M$15:M$139,MATCH($D87,'Start List'!$B$15:$B$139,0)))</f>
        <v/>
      </c>
      <c r="Q87" s="80" t="str">
        <f ca="1">IF($D87="","",INDEX('Start List'!N$15:N$139,MATCH($D87,'Start List'!$B$15:$B$139,0)))</f>
        <v/>
      </c>
      <c r="R87" s="80" t="str">
        <f ca="1">IF($D87="","",INDEX('Start List'!O$15:O$139,MATCH($D87,'Start List'!$B$15:$B$139,0)))</f>
        <v/>
      </c>
      <c r="S87" s="80" t="str">
        <f ca="1">IF($D87="","",INDEX('Start List'!P$15:P$139,MATCH($D87,'Start List'!$B$15:$B$139,0)))</f>
        <v/>
      </c>
      <c r="T87" s="80" t="str">
        <f ca="1">IF($D87="","",INDEX('Start List'!Q$15:Q$139,MATCH($D87,'Start List'!$B$15:$B$139,0)))</f>
        <v/>
      </c>
      <c r="U87" s="80" t="str">
        <f ca="1">IF($D87="","",INDEX('Start List'!R$15:R$139,MATCH($D87,'Start List'!$B$15:$B$139,0)))</f>
        <v/>
      </c>
      <c r="V87" s="80" t="str">
        <f ca="1">IF($D87="","",INDEX('Start List'!S$15:S$139,MATCH($D87,'Start List'!$B$15:$B$139,0)))</f>
        <v/>
      </c>
      <c r="W87" s="80" t="str">
        <f ca="1">IF($D87="","",INDEX('Start List'!T$15:T$139,MATCH($D87,'Start List'!$B$15:$B$139,0)))</f>
        <v/>
      </c>
      <c r="X87" s="80" t="str">
        <f ca="1">IF($D87="","",INDEX('Start List'!U$15:U$139,MATCH($D87,'Start List'!$B$15:$B$139,0)))</f>
        <v/>
      </c>
      <c r="Y87" s="80" t="str">
        <f ca="1">IF($D87="","",INDEX('Start List'!V$15:V$139,MATCH($D87,'Start List'!$B$15:$B$139,0)))</f>
        <v/>
      </c>
      <c r="Z87" s="80" t="str">
        <f ca="1">IF($D87="","",INDEX('Start List'!W$15:W$139,MATCH($D87,'Start List'!$B$15:$B$139,0)))</f>
        <v/>
      </c>
      <c r="AA87" s="80" t="str">
        <f ca="1">IF($D87="","",INDEX('Start List'!X$15:X$139,MATCH($D87,'Start List'!$B$15:$B$139,0)))</f>
        <v/>
      </c>
      <c r="AB87" s="80" t="str">
        <f ca="1">IF($D87="","",INDEX('Start List'!Y$15:Y$139,MATCH($D87,'Start List'!$B$15:$B$139,0)))</f>
        <v/>
      </c>
    </row>
    <row r="88" spans="1:28" ht="12.75" x14ac:dyDescent="0.2">
      <c r="A88" s="59" t="str">
        <f>IF(OR(COUNT('Start List'!A:A)+COUNTIF('Start List'!$I$9:$I$14,"&lt;21")='By Category'!A87,A87=""),"",'By Category'!A87+1)</f>
        <v/>
      </c>
      <c r="B88" s="74" t="str">
        <f>IF(A88="","",VLOOKUP(SMALL('Start List'!$I$9:$I$139,A88),'Start List'!$I$9:$J$14,2,FALSE))</f>
        <v/>
      </c>
      <c r="C88" s="75" t="str">
        <f>IF(OR(B88="",COUNTIF($B$9:B88,B88)=1),"",COUNTIF($B$9:B88,B88)-1)</f>
        <v/>
      </c>
      <c r="D88" s="227" t="str">
        <f ca="1">IF(""=C88,"",LARGE(INDIRECT(VLOOKUP(B88,'Start List'!$J$9:$N$14,5,FALSE)),C88))</f>
        <v/>
      </c>
      <c r="E88" s="79" t="str">
        <f>IF(C88="","",VLOOKUP(B88,Data!$AK$2:$AN$7,4,FALSE)&amp;C88)</f>
        <v/>
      </c>
      <c r="F88" s="80" t="str">
        <f>IF(COUNTIF(Data!$D$2:$D$97,'By Category'!$E88)=0,"",VLOOKUP('By Category'!$E88,Data!$D$2:$H$97,'By Category'!F$8,FALSE))</f>
        <v/>
      </c>
      <c r="G88" s="80" t="str">
        <f>IF(COUNTIF(Data!$D$2:$D$97,'By Category'!$E88)=0,"",VLOOKUP('By Category'!$E88,Data!$D$2:$H$97,'By Category'!G$8,FALSE))</f>
        <v/>
      </c>
      <c r="H88" s="80" t="str">
        <f>IF(COUNTIF(Data!$D$2:$D$97,'By Category'!$E88)=0,"",VLOOKUP('By Category'!$E88,Data!$D$2:$H$97,'By Category'!H$8,FALSE))</f>
        <v/>
      </c>
      <c r="I88" s="80" t="str">
        <f>IF(COUNTIF(Data!$D$2:$D$97,'By Category'!$E88)=0,"",VLOOKUP('By Category'!$E88,Data!$D$2:$H$97,'By Category'!I$8,FALSE))</f>
        <v/>
      </c>
      <c r="J88" s="77" t="str">
        <f ca="1">IF(B88&lt;&gt;B87,B88,IF($D88="","",INDEX('Start List'!$D$15:$D$139,MATCH($D88,'Start List'!$B$15:$B$139,0))))</f>
        <v/>
      </c>
      <c r="K88" s="77" t="str">
        <f ca="1">IF($D88="","",INDEX('Start List'!$E$15:$E$139,MATCH($D88,'Start List'!$B$15:$B$139,0)))</f>
        <v/>
      </c>
      <c r="L88" s="77" t="str">
        <f ca="1">IF($D88="","",INDEX('Start List'!$H$15:$H$139,MATCH($D88,'Start List'!$B$15:$B$139,0)))</f>
        <v/>
      </c>
      <c r="M88" s="79" t="str">
        <f ca="1">IF($D88="","",INDEX('Start List'!$F$15:$F$139,MATCH($D88,'Start List'!$B$15:$B$139,0)))</f>
        <v/>
      </c>
      <c r="N88" s="80" t="str">
        <f ca="1">IF($D88="","",INDEX('Start List'!K$15:K$139,MATCH($D88,'Start List'!$B$15:$B$139,0)))</f>
        <v/>
      </c>
      <c r="O88" s="80" t="str">
        <f ca="1">IF($D88="","",INDEX('Start List'!L$15:L$139,MATCH($D88,'Start List'!$B$15:$B$139,0)))</f>
        <v/>
      </c>
      <c r="P88" s="80" t="str">
        <f ca="1">IF($D88="","",INDEX('Start List'!M$15:M$139,MATCH($D88,'Start List'!$B$15:$B$139,0)))</f>
        <v/>
      </c>
      <c r="Q88" s="80" t="str">
        <f ca="1">IF($D88="","",INDEX('Start List'!N$15:N$139,MATCH($D88,'Start List'!$B$15:$B$139,0)))</f>
        <v/>
      </c>
      <c r="R88" s="80" t="str">
        <f ca="1">IF($D88="","",INDEX('Start List'!O$15:O$139,MATCH($D88,'Start List'!$B$15:$B$139,0)))</f>
        <v/>
      </c>
      <c r="S88" s="80" t="str">
        <f ca="1">IF($D88="","",INDEX('Start List'!P$15:P$139,MATCH($D88,'Start List'!$B$15:$B$139,0)))</f>
        <v/>
      </c>
      <c r="T88" s="80" t="str">
        <f ca="1">IF($D88="","",INDEX('Start List'!Q$15:Q$139,MATCH($D88,'Start List'!$B$15:$B$139,0)))</f>
        <v/>
      </c>
      <c r="U88" s="80" t="str">
        <f ca="1">IF($D88="","",INDEX('Start List'!R$15:R$139,MATCH($D88,'Start List'!$B$15:$B$139,0)))</f>
        <v/>
      </c>
      <c r="V88" s="80" t="str">
        <f ca="1">IF($D88="","",INDEX('Start List'!S$15:S$139,MATCH($D88,'Start List'!$B$15:$B$139,0)))</f>
        <v/>
      </c>
      <c r="W88" s="80" t="str">
        <f ca="1">IF($D88="","",INDEX('Start List'!T$15:T$139,MATCH($D88,'Start List'!$B$15:$B$139,0)))</f>
        <v/>
      </c>
      <c r="X88" s="80" t="str">
        <f ca="1">IF($D88="","",INDEX('Start List'!U$15:U$139,MATCH($D88,'Start List'!$B$15:$B$139,0)))</f>
        <v/>
      </c>
      <c r="Y88" s="80" t="str">
        <f ca="1">IF($D88="","",INDEX('Start List'!V$15:V$139,MATCH($D88,'Start List'!$B$15:$B$139,0)))</f>
        <v/>
      </c>
      <c r="Z88" s="80" t="str">
        <f ca="1">IF($D88="","",INDEX('Start List'!W$15:W$139,MATCH($D88,'Start List'!$B$15:$B$139,0)))</f>
        <v/>
      </c>
      <c r="AA88" s="80" t="str">
        <f ca="1">IF($D88="","",INDEX('Start List'!X$15:X$139,MATCH($D88,'Start List'!$B$15:$B$139,0)))</f>
        <v/>
      </c>
      <c r="AB88" s="80" t="str">
        <f ca="1">IF($D88="","",INDEX('Start List'!Y$15:Y$139,MATCH($D88,'Start List'!$B$15:$B$139,0)))</f>
        <v/>
      </c>
    </row>
    <row r="89" spans="1:28" ht="12.75" x14ac:dyDescent="0.2">
      <c r="A89" s="59" t="str">
        <f>IF(OR(COUNT('Start List'!A:A)+COUNTIF('Start List'!$I$9:$I$14,"&lt;21")='By Category'!A88,A88=""),"",'By Category'!A88+1)</f>
        <v/>
      </c>
      <c r="B89" s="74" t="str">
        <f>IF(A89="","",VLOOKUP(SMALL('Start List'!$I$9:$I$139,A89),'Start List'!$I$9:$J$14,2,FALSE))</f>
        <v/>
      </c>
      <c r="C89" s="75" t="str">
        <f>IF(OR(B89="",COUNTIF($B$9:B89,B89)=1),"",COUNTIF($B$9:B89,B89)-1)</f>
        <v/>
      </c>
      <c r="D89" s="227" t="str">
        <f ca="1">IF(""=C89,"",LARGE(INDIRECT(VLOOKUP(B89,'Start List'!$J$9:$N$14,5,FALSE)),C89))</f>
        <v/>
      </c>
      <c r="E89" s="79" t="str">
        <f>IF(C89="","",VLOOKUP(B89,Data!$AK$2:$AN$7,4,FALSE)&amp;C89)</f>
        <v/>
      </c>
      <c r="F89" s="80" t="str">
        <f>IF(COUNTIF(Data!$D$2:$D$97,'By Category'!$E89)=0,"",VLOOKUP('By Category'!$E89,Data!$D$2:$H$97,'By Category'!F$8,FALSE))</f>
        <v/>
      </c>
      <c r="G89" s="80" t="str">
        <f>IF(COUNTIF(Data!$D$2:$D$97,'By Category'!$E89)=0,"",VLOOKUP('By Category'!$E89,Data!$D$2:$H$97,'By Category'!G$8,FALSE))</f>
        <v/>
      </c>
      <c r="H89" s="80" t="str">
        <f>IF(COUNTIF(Data!$D$2:$D$97,'By Category'!$E89)=0,"",VLOOKUP('By Category'!$E89,Data!$D$2:$H$97,'By Category'!H$8,FALSE))</f>
        <v/>
      </c>
      <c r="I89" s="80" t="str">
        <f>IF(COUNTIF(Data!$D$2:$D$97,'By Category'!$E89)=0,"",VLOOKUP('By Category'!$E89,Data!$D$2:$H$97,'By Category'!I$8,FALSE))</f>
        <v/>
      </c>
      <c r="J89" s="77" t="str">
        <f ca="1">IF(B89&lt;&gt;B88,B89,IF($D89="","",INDEX('Start List'!$D$15:$D$139,MATCH($D89,'Start List'!$B$15:$B$139,0))))</f>
        <v/>
      </c>
      <c r="K89" s="77" t="str">
        <f ca="1">IF($D89="","",INDEX('Start List'!$E$15:$E$139,MATCH($D89,'Start List'!$B$15:$B$139,0)))</f>
        <v/>
      </c>
      <c r="L89" s="77" t="str">
        <f ca="1">IF($D89="","",INDEX('Start List'!$H$15:$H$139,MATCH($D89,'Start List'!$B$15:$B$139,0)))</f>
        <v/>
      </c>
      <c r="M89" s="79" t="str">
        <f ca="1">IF($D89="","",INDEX('Start List'!$F$15:$F$139,MATCH($D89,'Start List'!$B$15:$B$139,0)))</f>
        <v/>
      </c>
      <c r="N89" s="80" t="str">
        <f ca="1">IF($D89="","",INDEX('Start List'!K$15:K$139,MATCH($D89,'Start List'!$B$15:$B$139,0)))</f>
        <v/>
      </c>
      <c r="O89" s="80" t="str">
        <f ca="1">IF($D89="","",INDEX('Start List'!L$15:L$139,MATCH($D89,'Start List'!$B$15:$B$139,0)))</f>
        <v/>
      </c>
      <c r="P89" s="80" t="str">
        <f ca="1">IF($D89="","",INDEX('Start List'!M$15:M$139,MATCH($D89,'Start List'!$B$15:$B$139,0)))</f>
        <v/>
      </c>
      <c r="Q89" s="80" t="str">
        <f ca="1">IF($D89="","",INDEX('Start List'!N$15:N$139,MATCH($D89,'Start List'!$B$15:$B$139,0)))</f>
        <v/>
      </c>
      <c r="R89" s="80" t="str">
        <f ca="1">IF($D89="","",INDEX('Start List'!O$15:O$139,MATCH($D89,'Start List'!$B$15:$B$139,0)))</f>
        <v/>
      </c>
      <c r="S89" s="80" t="str">
        <f ca="1">IF($D89="","",INDEX('Start List'!P$15:P$139,MATCH($D89,'Start List'!$B$15:$B$139,0)))</f>
        <v/>
      </c>
      <c r="T89" s="80" t="str">
        <f ca="1">IF($D89="","",INDEX('Start List'!Q$15:Q$139,MATCH($D89,'Start List'!$B$15:$B$139,0)))</f>
        <v/>
      </c>
      <c r="U89" s="80" t="str">
        <f ca="1">IF($D89="","",INDEX('Start List'!R$15:R$139,MATCH($D89,'Start List'!$B$15:$B$139,0)))</f>
        <v/>
      </c>
      <c r="V89" s="80" t="str">
        <f ca="1">IF($D89="","",INDEX('Start List'!S$15:S$139,MATCH($D89,'Start List'!$B$15:$B$139,0)))</f>
        <v/>
      </c>
      <c r="W89" s="80" t="str">
        <f ca="1">IF($D89="","",INDEX('Start List'!T$15:T$139,MATCH($D89,'Start List'!$B$15:$B$139,0)))</f>
        <v/>
      </c>
      <c r="X89" s="80" t="str">
        <f ca="1">IF($D89="","",INDEX('Start List'!U$15:U$139,MATCH($D89,'Start List'!$B$15:$B$139,0)))</f>
        <v/>
      </c>
      <c r="Y89" s="80" t="str">
        <f ca="1">IF($D89="","",INDEX('Start List'!V$15:V$139,MATCH($D89,'Start List'!$B$15:$B$139,0)))</f>
        <v/>
      </c>
      <c r="Z89" s="80" t="str">
        <f ca="1">IF($D89="","",INDEX('Start List'!W$15:W$139,MATCH($D89,'Start List'!$B$15:$B$139,0)))</f>
        <v/>
      </c>
      <c r="AA89" s="80" t="str">
        <f ca="1">IF($D89="","",INDEX('Start List'!X$15:X$139,MATCH($D89,'Start List'!$B$15:$B$139,0)))</f>
        <v/>
      </c>
      <c r="AB89" s="80" t="str">
        <f ca="1">IF($D89="","",INDEX('Start List'!Y$15:Y$139,MATCH($D89,'Start List'!$B$15:$B$139,0)))</f>
        <v/>
      </c>
    </row>
    <row r="90" spans="1:28" ht="12.75" x14ac:dyDescent="0.2">
      <c r="A90" s="59" t="str">
        <f>IF(OR(COUNT('Start List'!A:A)+COUNTIF('Start List'!$I$9:$I$14,"&lt;21")='By Category'!A89,A89=""),"",'By Category'!A89+1)</f>
        <v/>
      </c>
      <c r="B90" s="74" t="str">
        <f>IF(A90="","",VLOOKUP(SMALL('Start List'!$I$9:$I$139,A90),'Start List'!$I$9:$J$14,2,FALSE))</f>
        <v/>
      </c>
      <c r="C90" s="75" t="str">
        <f>IF(OR(B90="",COUNTIF($B$9:B90,B90)=1),"",COUNTIF($B$9:B90,B90)-1)</f>
        <v/>
      </c>
      <c r="D90" s="227" t="str">
        <f ca="1">IF(""=C90,"",LARGE(INDIRECT(VLOOKUP(B90,'Start List'!$J$9:$N$14,5,FALSE)),C90))</f>
        <v/>
      </c>
      <c r="E90" s="79" t="str">
        <f>IF(C90="","",VLOOKUP(B90,Data!$AK$2:$AN$7,4,FALSE)&amp;C90)</f>
        <v/>
      </c>
      <c r="F90" s="80" t="str">
        <f>IF(COUNTIF(Data!$D$2:$D$97,'By Category'!$E90)=0,"",VLOOKUP('By Category'!$E90,Data!$D$2:$H$97,'By Category'!F$8,FALSE))</f>
        <v/>
      </c>
      <c r="G90" s="80" t="str">
        <f>IF(COUNTIF(Data!$D$2:$D$97,'By Category'!$E90)=0,"",VLOOKUP('By Category'!$E90,Data!$D$2:$H$97,'By Category'!G$8,FALSE))</f>
        <v/>
      </c>
      <c r="H90" s="80" t="str">
        <f>IF(COUNTIF(Data!$D$2:$D$97,'By Category'!$E90)=0,"",VLOOKUP('By Category'!$E90,Data!$D$2:$H$97,'By Category'!H$8,FALSE))</f>
        <v/>
      </c>
      <c r="I90" s="80" t="str">
        <f>IF(COUNTIF(Data!$D$2:$D$97,'By Category'!$E90)=0,"",VLOOKUP('By Category'!$E90,Data!$D$2:$H$97,'By Category'!I$8,FALSE))</f>
        <v/>
      </c>
      <c r="J90" s="77" t="str">
        <f ca="1">IF(B90&lt;&gt;B89,B90,IF($D90="","",INDEX('Start List'!$D$15:$D$139,MATCH($D90,'Start List'!$B$15:$B$139,0))))</f>
        <v/>
      </c>
      <c r="K90" s="77" t="str">
        <f ca="1">IF($D90="","",INDEX('Start List'!$E$15:$E$139,MATCH($D90,'Start List'!$B$15:$B$139,0)))</f>
        <v/>
      </c>
      <c r="L90" s="77" t="str">
        <f ca="1">IF($D90="","",INDEX('Start List'!$H$15:$H$139,MATCH($D90,'Start List'!$B$15:$B$139,0)))</f>
        <v/>
      </c>
      <c r="M90" s="79" t="str">
        <f ca="1">IF($D90="","",INDEX('Start List'!$F$15:$F$139,MATCH($D90,'Start List'!$B$15:$B$139,0)))</f>
        <v/>
      </c>
      <c r="N90" s="80" t="str">
        <f ca="1">IF($D90="","",INDEX('Start List'!K$15:K$139,MATCH($D90,'Start List'!$B$15:$B$139,0)))</f>
        <v/>
      </c>
      <c r="O90" s="80" t="str">
        <f ca="1">IF($D90="","",INDEX('Start List'!L$15:L$139,MATCH($D90,'Start List'!$B$15:$B$139,0)))</f>
        <v/>
      </c>
      <c r="P90" s="80" t="str">
        <f ca="1">IF($D90="","",INDEX('Start List'!M$15:M$139,MATCH($D90,'Start List'!$B$15:$B$139,0)))</f>
        <v/>
      </c>
      <c r="Q90" s="80" t="str">
        <f ca="1">IF($D90="","",INDEX('Start List'!N$15:N$139,MATCH($D90,'Start List'!$B$15:$B$139,0)))</f>
        <v/>
      </c>
      <c r="R90" s="80" t="str">
        <f ca="1">IF($D90="","",INDEX('Start List'!O$15:O$139,MATCH($D90,'Start List'!$B$15:$B$139,0)))</f>
        <v/>
      </c>
      <c r="S90" s="80" t="str">
        <f ca="1">IF($D90="","",INDEX('Start List'!P$15:P$139,MATCH($D90,'Start List'!$B$15:$B$139,0)))</f>
        <v/>
      </c>
      <c r="T90" s="80" t="str">
        <f ca="1">IF($D90="","",INDEX('Start List'!Q$15:Q$139,MATCH($D90,'Start List'!$B$15:$B$139,0)))</f>
        <v/>
      </c>
      <c r="U90" s="80" t="str">
        <f ca="1">IF($D90="","",INDEX('Start List'!R$15:R$139,MATCH($D90,'Start List'!$B$15:$B$139,0)))</f>
        <v/>
      </c>
      <c r="V90" s="80" t="str">
        <f ca="1">IF($D90="","",INDEX('Start List'!S$15:S$139,MATCH($D90,'Start List'!$B$15:$B$139,0)))</f>
        <v/>
      </c>
      <c r="W90" s="80" t="str">
        <f ca="1">IF($D90="","",INDEX('Start List'!T$15:T$139,MATCH($D90,'Start List'!$B$15:$B$139,0)))</f>
        <v/>
      </c>
      <c r="X90" s="80" t="str">
        <f ca="1">IF($D90="","",INDEX('Start List'!U$15:U$139,MATCH($D90,'Start List'!$B$15:$B$139,0)))</f>
        <v/>
      </c>
      <c r="Y90" s="80" t="str">
        <f ca="1">IF($D90="","",INDEX('Start List'!V$15:V$139,MATCH($D90,'Start List'!$B$15:$B$139,0)))</f>
        <v/>
      </c>
      <c r="Z90" s="80" t="str">
        <f ca="1">IF($D90="","",INDEX('Start List'!W$15:W$139,MATCH($D90,'Start List'!$B$15:$B$139,0)))</f>
        <v/>
      </c>
      <c r="AA90" s="80" t="str">
        <f ca="1">IF($D90="","",INDEX('Start List'!X$15:X$139,MATCH($D90,'Start List'!$B$15:$B$139,0)))</f>
        <v/>
      </c>
      <c r="AB90" s="80" t="str">
        <f ca="1">IF($D90="","",INDEX('Start List'!Y$15:Y$139,MATCH($D90,'Start List'!$B$15:$B$139,0)))</f>
        <v/>
      </c>
    </row>
    <row r="91" spans="1:28" ht="12.75" x14ac:dyDescent="0.2">
      <c r="A91" s="59" t="str">
        <f>IF(OR(COUNT('Start List'!A:A)+COUNTIF('Start List'!$I$9:$I$14,"&lt;21")='By Category'!A90,A90=""),"",'By Category'!A90+1)</f>
        <v/>
      </c>
      <c r="B91" s="74" t="str">
        <f>IF(A91="","",VLOOKUP(SMALL('Start List'!$I$9:$I$139,A91),'Start List'!$I$9:$J$14,2,FALSE))</f>
        <v/>
      </c>
      <c r="C91" s="75" t="str">
        <f>IF(OR(B91="",COUNTIF($B$9:B91,B91)=1),"",COUNTIF($B$9:B91,B91)-1)</f>
        <v/>
      </c>
      <c r="D91" s="227" t="str">
        <f ca="1">IF(""=C91,"",LARGE(INDIRECT(VLOOKUP(B91,'Start List'!$J$9:$N$14,5,FALSE)),C91))</f>
        <v/>
      </c>
      <c r="E91" s="79" t="str">
        <f>IF(C91="","",VLOOKUP(B91,Data!$AK$2:$AN$7,4,FALSE)&amp;C91)</f>
        <v/>
      </c>
      <c r="F91" s="80" t="str">
        <f>IF(COUNTIF(Data!$D$2:$D$97,'By Category'!$E91)=0,"",VLOOKUP('By Category'!$E91,Data!$D$2:$H$97,'By Category'!F$8,FALSE))</f>
        <v/>
      </c>
      <c r="G91" s="80" t="str">
        <f>IF(COUNTIF(Data!$D$2:$D$97,'By Category'!$E91)=0,"",VLOOKUP('By Category'!$E91,Data!$D$2:$H$97,'By Category'!G$8,FALSE))</f>
        <v/>
      </c>
      <c r="H91" s="80" t="str">
        <f>IF(COUNTIF(Data!$D$2:$D$97,'By Category'!$E91)=0,"",VLOOKUP('By Category'!$E91,Data!$D$2:$H$97,'By Category'!H$8,FALSE))</f>
        <v/>
      </c>
      <c r="I91" s="80" t="str">
        <f>IF(COUNTIF(Data!$D$2:$D$97,'By Category'!$E91)=0,"",VLOOKUP('By Category'!$E91,Data!$D$2:$H$97,'By Category'!I$8,FALSE))</f>
        <v/>
      </c>
      <c r="J91" s="77" t="str">
        <f ca="1">IF(B91&lt;&gt;B90,B91,IF($D91="","",INDEX('Start List'!$D$15:$D$139,MATCH($D91,'Start List'!$B$15:$B$139,0))))</f>
        <v/>
      </c>
      <c r="K91" s="77" t="str">
        <f ca="1">IF($D91="","",INDEX('Start List'!$E$15:$E$139,MATCH($D91,'Start List'!$B$15:$B$139,0)))</f>
        <v/>
      </c>
      <c r="L91" s="77" t="str">
        <f ca="1">IF($D91="","",INDEX('Start List'!$H$15:$H$139,MATCH($D91,'Start List'!$B$15:$B$139,0)))</f>
        <v/>
      </c>
      <c r="M91" s="79" t="str">
        <f ca="1">IF($D91="","",INDEX('Start List'!$F$15:$F$139,MATCH($D91,'Start List'!$B$15:$B$139,0)))</f>
        <v/>
      </c>
      <c r="N91" s="80" t="str">
        <f ca="1">IF($D91="","",INDEX('Start List'!K$15:K$139,MATCH($D91,'Start List'!$B$15:$B$139,0)))</f>
        <v/>
      </c>
      <c r="O91" s="80" t="str">
        <f ca="1">IF($D91="","",INDEX('Start List'!L$15:L$139,MATCH($D91,'Start List'!$B$15:$B$139,0)))</f>
        <v/>
      </c>
      <c r="P91" s="80" t="str">
        <f ca="1">IF($D91="","",INDEX('Start List'!M$15:M$139,MATCH($D91,'Start List'!$B$15:$B$139,0)))</f>
        <v/>
      </c>
      <c r="Q91" s="80" t="str">
        <f ca="1">IF($D91="","",INDEX('Start List'!N$15:N$139,MATCH($D91,'Start List'!$B$15:$B$139,0)))</f>
        <v/>
      </c>
      <c r="R91" s="80" t="str">
        <f ca="1">IF($D91="","",INDEX('Start List'!O$15:O$139,MATCH($D91,'Start List'!$B$15:$B$139,0)))</f>
        <v/>
      </c>
      <c r="S91" s="80" t="str">
        <f ca="1">IF($D91="","",INDEX('Start List'!P$15:P$139,MATCH($D91,'Start List'!$B$15:$B$139,0)))</f>
        <v/>
      </c>
      <c r="T91" s="80" t="str">
        <f ca="1">IF($D91="","",INDEX('Start List'!Q$15:Q$139,MATCH($D91,'Start List'!$B$15:$B$139,0)))</f>
        <v/>
      </c>
      <c r="U91" s="80" t="str">
        <f ca="1">IF($D91="","",INDEX('Start List'!R$15:R$139,MATCH($D91,'Start List'!$B$15:$B$139,0)))</f>
        <v/>
      </c>
      <c r="V91" s="80" t="str">
        <f ca="1">IF($D91="","",INDEX('Start List'!S$15:S$139,MATCH($D91,'Start List'!$B$15:$B$139,0)))</f>
        <v/>
      </c>
      <c r="W91" s="80" t="str">
        <f ca="1">IF($D91="","",INDEX('Start List'!T$15:T$139,MATCH($D91,'Start List'!$B$15:$B$139,0)))</f>
        <v/>
      </c>
      <c r="X91" s="80" t="str">
        <f ca="1">IF($D91="","",INDEX('Start List'!U$15:U$139,MATCH($D91,'Start List'!$B$15:$B$139,0)))</f>
        <v/>
      </c>
      <c r="Y91" s="80" t="str">
        <f ca="1">IF($D91="","",INDEX('Start List'!V$15:V$139,MATCH($D91,'Start List'!$B$15:$B$139,0)))</f>
        <v/>
      </c>
      <c r="Z91" s="80" t="str">
        <f ca="1">IF($D91="","",INDEX('Start List'!W$15:W$139,MATCH($D91,'Start List'!$B$15:$B$139,0)))</f>
        <v/>
      </c>
      <c r="AA91" s="80" t="str">
        <f ca="1">IF($D91="","",INDEX('Start List'!X$15:X$139,MATCH($D91,'Start List'!$B$15:$B$139,0)))</f>
        <v/>
      </c>
      <c r="AB91" s="80" t="str">
        <f ca="1">IF($D91="","",INDEX('Start List'!Y$15:Y$139,MATCH($D91,'Start List'!$B$15:$B$139,0)))</f>
        <v/>
      </c>
    </row>
    <row r="92" spans="1:28" ht="12.75" x14ac:dyDescent="0.2">
      <c r="A92" s="59" t="str">
        <f>IF(OR(COUNT('Start List'!A:A)+COUNTIF('Start List'!$I$9:$I$14,"&lt;21")='By Category'!A91,A91=""),"",'By Category'!A91+1)</f>
        <v/>
      </c>
      <c r="B92" s="74" t="str">
        <f>IF(A92="","",VLOOKUP(SMALL('Start List'!$I$9:$I$139,A92),'Start List'!$I$9:$J$14,2,FALSE))</f>
        <v/>
      </c>
      <c r="C92" s="75" t="str">
        <f>IF(OR(B92="",COUNTIF($B$9:B92,B92)=1),"",COUNTIF($B$9:B92,B92)-1)</f>
        <v/>
      </c>
      <c r="D92" s="227" t="str">
        <f ca="1">IF(""=C92,"",LARGE(INDIRECT(VLOOKUP(B92,'Start List'!$J$9:$N$14,5,FALSE)),C92))</f>
        <v/>
      </c>
      <c r="E92" s="79" t="str">
        <f>IF(C92="","",VLOOKUP(B92,Data!$AK$2:$AN$7,4,FALSE)&amp;C92)</f>
        <v/>
      </c>
      <c r="F92" s="80" t="str">
        <f>IF(COUNTIF(Data!$D$2:$D$97,'By Category'!$E92)=0,"",VLOOKUP('By Category'!$E92,Data!$D$2:$H$97,'By Category'!F$8,FALSE))</f>
        <v/>
      </c>
      <c r="G92" s="80" t="str">
        <f>IF(COUNTIF(Data!$D$2:$D$97,'By Category'!$E92)=0,"",VLOOKUP('By Category'!$E92,Data!$D$2:$H$97,'By Category'!G$8,FALSE))</f>
        <v/>
      </c>
      <c r="H92" s="80" t="str">
        <f>IF(COUNTIF(Data!$D$2:$D$97,'By Category'!$E92)=0,"",VLOOKUP('By Category'!$E92,Data!$D$2:$H$97,'By Category'!H$8,FALSE))</f>
        <v/>
      </c>
      <c r="I92" s="80" t="str">
        <f>IF(COUNTIF(Data!$D$2:$D$97,'By Category'!$E92)=0,"",VLOOKUP('By Category'!$E92,Data!$D$2:$H$97,'By Category'!I$8,FALSE))</f>
        <v/>
      </c>
      <c r="J92" s="77" t="str">
        <f ca="1">IF(B92&lt;&gt;B91,B92,IF($D92="","",INDEX('Start List'!$D$15:$D$139,MATCH($D92,'Start List'!$B$15:$B$139,0))))</f>
        <v/>
      </c>
      <c r="K92" s="77" t="str">
        <f ca="1">IF($D92="","",INDEX('Start List'!$E$15:$E$139,MATCH($D92,'Start List'!$B$15:$B$139,0)))</f>
        <v/>
      </c>
      <c r="L92" s="77" t="str">
        <f ca="1">IF($D92="","",INDEX('Start List'!$H$15:$H$139,MATCH($D92,'Start List'!$B$15:$B$139,0)))</f>
        <v/>
      </c>
      <c r="M92" s="79" t="str">
        <f ca="1">IF($D92="","",INDEX('Start List'!$F$15:$F$139,MATCH($D92,'Start List'!$B$15:$B$139,0)))</f>
        <v/>
      </c>
      <c r="N92" s="80" t="str">
        <f ca="1">IF($D92="","",INDEX('Start List'!K$15:K$139,MATCH($D92,'Start List'!$B$15:$B$139,0)))</f>
        <v/>
      </c>
      <c r="O92" s="80" t="str">
        <f ca="1">IF($D92="","",INDEX('Start List'!L$15:L$139,MATCH($D92,'Start List'!$B$15:$B$139,0)))</f>
        <v/>
      </c>
      <c r="P92" s="80" t="str">
        <f ca="1">IF($D92="","",INDEX('Start List'!M$15:M$139,MATCH($D92,'Start List'!$B$15:$B$139,0)))</f>
        <v/>
      </c>
      <c r="Q92" s="80" t="str">
        <f ca="1">IF($D92="","",INDEX('Start List'!N$15:N$139,MATCH($D92,'Start List'!$B$15:$B$139,0)))</f>
        <v/>
      </c>
      <c r="R92" s="80" t="str">
        <f ca="1">IF($D92="","",INDEX('Start List'!O$15:O$139,MATCH($D92,'Start List'!$B$15:$B$139,0)))</f>
        <v/>
      </c>
      <c r="S92" s="80" t="str">
        <f ca="1">IF($D92="","",INDEX('Start List'!P$15:P$139,MATCH($D92,'Start List'!$B$15:$B$139,0)))</f>
        <v/>
      </c>
      <c r="T92" s="80" t="str">
        <f ca="1">IF($D92="","",INDEX('Start List'!Q$15:Q$139,MATCH($D92,'Start List'!$B$15:$B$139,0)))</f>
        <v/>
      </c>
      <c r="U92" s="80" t="str">
        <f ca="1">IF($D92="","",INDEX('Start List'!R$15:R$139,MATCH($D92,'Start List'!$B$15:$B$139,0)))</f>
        <v/>
      </c>
      <c r="V92" s="80" t="str">
        <f ca="1">IF($D92="","",INDEX('Start List'!S$15:S$139,MATCH($D92,'Start List'!$B$15:$B$139,0)))</f>
        <v/>
      </c>
      <c r="W92" s="80" t="str">
        <f ca="1">IF($D92="","",INDEX('Start List'!T$15:T$139,MATCH($D92,'Start List'!$B$15:$B$139,0)))</f>
        <v/>
      </c>
      <c r="X92" s="80" t="str">
        <f ca="1">IF($D92="","",INDEX('Start List'!U$15:U$139,MATCH($D92,'Start List'!$B$15:$B$139,0)))</f>
        <v/>
      </c>
      <c r="Y92" s="80" t="str">
        <f ca="1">IF($D92="","",INDEX('Start List'!V$15:V$139,MATCH($D92,'Start List'!$B$15:$B$139,0)))</f>
        <v/>
      </c>
      <c r="Z92" s="80" t="str">
        <f ca="1">IF($D92="","",INDEX('Start List'!W$15:W$139,MATCH($D92,'Start List'!$B$15:$B$139,0)))</f>
        <v/>
      </c>
      <c r="AA92" s="80" t="str">
        <f ca="1">IF($D92="","",INDEX('Start List'!X$15:X$139,MATCH($D92,'Start List'!$B$15:$B$139,0)))</f>
        <v/>
      </c>
      <c r="AB92" s="80" t="str">
        <f ca="1">IF($D92="","",INDEX('Start List'!Y$15:Y$139,MATCH($D92,'Start List'!$B$15:$B$139,0)))</f>
        <v/>
      </c>
    </row>
    <row r="93" spans="1:28" ht="12.75" x14ac:dyDescent="0.2">
      <c r="A93" s="59" t="str">
        <f>IF(OR(COUNT('Start List'!A:A)+COUNTIF('Start List'!$I$9:$I$14,"&lt;21")='By Category'!A92,A92=""),"",'By Category'!A92+1)</f>
        <v/>
      </c>
      <c r="B93" s="74" t="str">
        <f>IF(A93="","",VLOOKUP(SMALL('Start List'!$I$9:$I$139,A93),'Start List'!$I$9:$J$14,2,FALSE))</f>
        <v/>
      </c>
      <c r="C93" s="75" t="str">
        <f>IF(OR(B93="",COUNTIF($B$9:B93,B93)=1),"",COUNTIF($B$9:B93,B93)-1)</f>
        <v/>
      </c>
      <c r="D93" s="227" t="str">
        <f ca="1">IF(""=C93,"",LARGE(INDIRECT(VLOOKUP(B93,'Start List'!$J$9:$N$14,5,FALSE)),C93))</f>
        <v/>
      </c>
      <c r="E93" s="79" t="str">
        <f>IF(C93="","",VLOOKUP(B93,Data!$AK$2:$AN$7,4,FALSE)&amp;C93)</f>
        <v/>
      </c>
      <c r="F93" s="80" t="str">
        <f>IF(COUNTIF(Data!$D$2:$D$97,'By Category'!$E93)=0,"",VLOOKUP('By Category'!$E93,Data!$D$2:$H$97,'By Category'!F$8,FALSE))</f>
        <v/>
      </c>
      <c r="G93" s="80" t="str">
        <f>IF(COUNTIF(Data!$D$2:$D$97,'By Category'!$E93)=0,"",VLOOKUP('By Category'!$E93,Data!$D$2:$H$97,'By Category'!G$8,FALSE))</f>
        <v/>
      </c>
      <c r="H93" s="80" t="str">
        <f>IF(COUNTIF(Data!$D$2:$D$97,'By Category'!$E93)=0,"",VLOOKUP('By Category'!$E93,Data!$D$2:$H$97,'By Category'!H$8,FALSE))</f>
        <v/>
      </c>
      <c r="I93" s="80" t="str">
        <f>IF(COUNTIF(Data!$D$2:$D$97,'By Category'!$E93)=0,"",VLOOKUP('By Category'!$E93,Data!$D$2:$H$97,'By Category'!I$8,FALSE))</f>
        <v/>
      </c>
      <c r="J93" s="77" t="str">
        <f ca="1">IF(B93&lt;&gt;B92,B93,IF($D93="","",INDEX('Start List'!$D$15:$D$139,MATCH($D93,'Start List'!$B$15:$B$139,0))))</f>
        <v/>
      </c>
      <c r="K93" s="77" t="str">
        <f ca="1">IF($D93="","",INDEX('Start List'!$E$15:$E$139,MATCH($D93,'Start List'!$B$15:$B$139,0)))</f>
        <v/>
      </c>
      <c r="L93" s="77" t="str">
        <f ca="1">IF($D93="","",INDEX('Start List'!$H$15:$H$139,MATCH($D93,'Start List'!$B$15:$B$139,0)))</f>
        <v/>
      </c>
      <c r="M93" s="79" t="str">
        <f ca="1">IF($D93="","",INDEX('Start List'!$F$15:$F$139,MATCH($D93,'Start List'!$B$15:$B$139,0)))</f>
        <v/>
      </c>
      <c r="N93" s="80" t="str">
        <f ca="1">IF($D93="","",INDEX('Start List'!K$15:K$139,MATCH($D93,'Start List'!$B$15:$B$139,0)))</f>
        <v/>
      </c>
      <c r="O93" s="80" t="str">
        <f ca="1">IF($D93="","",INDEX('Start List'!L$15:L$139,MATCH($D93,'Start List'!$B$15:$B$139,0)))</f>
        <v/>
      </c>
      <c r="P93" s="80" t="str">
        <f ca="1">IF($D93="","",INDEX('Start List'!M$15:M$139,MATCH($D93,'Start List'!$B$15:$B$139,0)))</f>
        <v/>
      </c>
      <c r="Q93" s="80" t="str">
        <f ca="1">IF($D93="","",INDEX('Start List'!N$15:N$139,MATCH($D93,'Start List'!$B$15:$B$139,0)))</f>
        <v/>
      </c>
      <c r="R93" s="80" t="str">
        <f ca="1">IF($D93="","",INDEX('Start List'!O$15:O$139,MATCH($D93,'Start List'!$B$15:$B$139,0)))</f>
        <v/>
      </c>
      <c r="S93" s="80" t="str">
        <f ca="1">IF($D93="","",INDEX('Start List'!P$15:P$139,MATCH($D93,'Start List'!$B$15:$B$139,0)))</f>
        <v/>
      </c>
      <c r="T93" s="80" t="str">
        <f ca="1">IF($D93="","",INDEX('Start List'!Q$15:Q$139,MATCH($D93,'Start List'!$B$15:$B$139,0)))</f>
        <v/>
      </c>
      <c r="U93" s="80" t="str">
        <f ca="1">IF($D93="","",INDEX('Start List'!R$15:R$139,MATCH($D93,'Start List'!$B$15:$B$139,0)))</f>
        <v/>
      </c>
      <c r="V93" s="80" t="str">
        <f ca="1">IF($D93="","",INDEX('Start List'!S$15:S$139,MATCH($D93,'Start List'!$B$15:$B$139,0)))</f>
        <v/>
      </c>
      <c r="W93" s="80" t="str">
        <f ca="1">IF($D93="","",INDEX('Start List'!T$15:T$139,MATCH($D93,'Start List'!$B$15:$B$139,0)))</f>
        <v/>
      </c>
      <c r="X93" s="80" t="str">
        <f ca="1">IF($D93="","",INDEX('Start List'!U$15:U$139,MATCH($D93,'Start List'!$B$15:$B$139,0)))</f>
        <v/>
      </c>
      <c r="Y93" s="80" t="str">
        <f ca="1">IF($D93="","",INDEX('Start List'!V$15:V$139,MATCH($D93,'Start List'!$B$15:$B$139,0)))</f>
        <v/>
      </c>
      <c r="Z93" s="80" t="str">
        <f ca="1">IF($D93="","",INDEX('Start List'!W$15:W$139,MATCH($D93,'Start List'!$B$15:$B$139,0)))</f>
        <v/>
      </c>
      <c r="AA93" s="80" t="str">
        <f ca="1">IF($D93="","",INDEX('Start List'!X$15:X$139,MATCH($D93,'Start List'!$B$15:$B$139,0)))</f>
        <v/>
      </c>
      <c r="AB93" s="80" t="str">
        <f ca="1">IF($D93="","",INDEX('Start List'!Y$15:Y$139,MATCH($D93,'Start List'!$B$15:$B$139,0)))</f>
        <v/>
      </c>
    </row>
    <row r="94" spans="1:28" ht="12.75" x14ac:dyDescent="0.2">
      <c r="A94" s="59" t="str">
        <f>IF(OR(COUNT('Start List'!A:A)+COUNTIF('Start List'!$I$9:$I$14,"&lt;21")='By Category'!A93,A93=""),"",'By Category'!A93+1)</f>
        <v/>
      </c>
      <c r="B94" s="74" t="str">
        <f>IF(A94="","",VLOOKUP(SMALL('Start List'!$I$9:$I$139,A94),'Start List'!$I$9:$J$14,2,FALSE))</f>
        <v/>
      </c>
      <c r="C94" s="75" t="str">
        <f>IF(OR(B94="",COUNTIF($B$9:B94,B94)=1),"",COUNTIF($B$9:B94,B94)-1)</f>
        <v/>
      </c>
      <c r="D94" s="227" t="str">
        <f ca="1">IF(""=C94,"",LARGE(INDIRECT(VLOOKUP(B94,'Start List'!$J$9:$N$14,5,FALSE)),C94))</f>
        <v/>
      </c>
      <c r="E94" s="79" t="str">
        <f>IF(C94="","",VLOOKUP(B94,Data!$AK$2:$AN$7,4,FALSE)&amp;C94)</f>
        <v/>
      </c>
      <c r="F94" s="80" t="str">
        <f>IF(COUNTIF(Data!$D$2:$D$97,'By Category'!$E94)=0,"",VLOOKUP('By Category'!$E94,Data!$D$2:$H$97,'By Category'!F$8,FALSE))</f>
        <v/>
      </c>
      <c r="G94" s="80" t="str">
        <f>IF(COUNTIF(Data!$D$2:$D$97,'By Category'!$E94)=0,"",VLOOKUP('By Category'!$E94,Data!$D$2:$H$97,'By Category'!G$8,FALSE))</f>
        <v/>
      </c>
      <c r="H94" s="80" t="str">
        <f>IF(COUNTIF(Data!$D$2:$D$97,'By Category'!$E94)=0,"",VLOOKUP('By Category'!$E94,Data!$D$2:$H$97,'By Category'!H$8,FALSE))</f>
        <v/>
      </c>
      <c r="I94" s="80" t="str">
        <f>IF(COUNTIF(Data!$D$2:$D$97,'By Category'!$E94)=0,"",VLOOKUP('By Category'!$E94,Data!$D$2:$H$97,'By Category'!I$8,FALSE))</f>
        <v/>
      </c>
      <c r="J94" s="77" t="str">
        <f ca="1">IF(B94&lt;&gt;B93,B94,IF($D94="","",INDEX('Start List'!$D$15:$D$139,MATCH($D94,'Start List'!$B$15:$B$139,0))))</f>
        <v/>
      </c>
      <c r="K94" s="77" t="str">
        <f ca="1">IF($D94="","",INDEX('Start List'!$E$15:$E$139,MATCH($D94,'Start List'!$B$15:$B$139,0)))</f>
        <v/>
      </c>
      <c r="L94" s="77" t="str">
        <f ca="1">IF($D94="","",INDEX('Start List'!$H$15:$H$139,MATCH($D94,'Start List'!$B$15:$B$139,0)))</f>
        <v/>
      </c>
      <c r="M94" s="79" t="str">
        <f ca="1">IF($D94="","",INDEX('Start List'!$F$15:$F$139,MATCH($D94,'Start List'!$B$15:$B$139,0)))</f>
        <v/>
      </c>
      <c r="N94" s="80" t="str">
        <f ca="1">IF($D94="","",INDEX('Start List'!K$15:K$139,MATCH($D94,'Start List'!$B$15:$B$139,0)))</f>
        <v/>
      </c>
      <c r="O94" s="80" t="str">
        <f ca="1">IF($D94="","",INDEX('Start List'!L$15:L$139,MATCH($D94,'Start List'!$B$15:$B$139,0)))</f>
        <v/>
      </c>
      <c r="P94" s="80" t="str">
        <f ca="1">IF($D94="","",INDEX('Start List'!M$15:M$139,MATCH($D94,'Start List'!$B$15:$B$139,0)))</f>
        <v/>
      </c>
      <c r="Q94" s="80" t="str">
        <f ca="1">IF($D94="","",INDEX('Start List'!N$15:N$139,MATCH($D94,'Start List'!$B$15:$B$139,0)))</f>
        <v/>
      </c>
      <c r="R94" s="80" t="str">
        <f ca="1">IF($D94="","",INDEX('Start List'!O$15:O$139,MATCH($D94,'Start List'!$B$15:$B$139,0)))</f>
        <v/>
      </c>
      <c r="S94" s="80" t="str">
        <f ca="1">IF($D94="","",INDEX('Start List'!P$15:P$139,MATCH($D94,'Start List'!$B$15:$B$139,0)))</f>
        <v/>
      </c>
      <c r="T94" s="80" t="str">
        <f ca="1">IF($D94="","",INDEX('Start List'!Q$15:Q$139,MATCH($D94,'Start List'!$B$15:$B$139,0)))</f>
        <v/>
      </c>
      <c r="U94" s="80" t="str">
        <f ca="1">IF($D94="","",INDEX('Start List'!R$15:R$139,MATCH($D94,'Start List'!$B$15:$B$139,0)))</f>
        <v/>
      </c>
      <c r="V94" s="80" t="str">
        <f ca="1">IF($D94="","",INDEX('Start List'!S$15:S$139,MATCH($D94,'Start List'!$B$15:$B$139,0)))</f>
        <v/>
      </c>
      <c r="W94" s="80" t="str">
        <f ca="1">IF($D94="","",INDEX('Start List'!T$15:T$139,MATCH($D94,'Start List'!$B$15:$B$139,0)))</f>
        <v/>
      </c>
      <c r="X94" s="80" t="str">
        <f ca="1">IF($D94="","",INDEX('Start List'!U$15:U$139,MATCH($D94,'Start List'!$B$15:$B$139,0)))</f>
        <v/>
      </c>
      <c r="Y94" s="80" t="str">
        <f ca="1">IF($D94="","",INDEX('Start List'!V$15:V$139,MATCH($D94,'Start List'!$B$15:$B$139,0)))</f>
        <v/>
      </c>
      <c r="Z94" s="80" t="str">
        <f ca="1">IF($D94="","",INDEX('Start List'!W$15:W$139,MATCH($D94,'Start List'!$B$15:$B$139,0)))</f>
        <v/>
      </c>
      <c r="AA94" s="80" t="str">
        <f ca="1">IF($D94="","",INDEX('Start List'!X$15:X$139,MATCH($D94,'Start List'!$B$15:$B$139,0)))</f>
        <v/>
      </c>
      <c r="AB94" s="80" t="str">
        <f ca="1">IF($D94="","",INDEX('Start List'!Y$15:Y$139,MATCH($D94,'Start List'!$B$15:$B$139,0)))</f>
        <v/>
      </c>
    </row>
    <row r="95" spans="1:28" ht="12.75" x14ac:dyDescent="0.2">
      <c r="A95" s="59" t="str">
        <f>IF(OR(COUNT('Start List'!A:A)+COUNTIF('Start List'!$I$9:$I$14,"&lt;21")='By Category'!A94,A94=""),"",'By Category'!A94+1)</f>
        <v/>
      </c>
      <c r="B95" s="74" t="str">
        <f>IF(A95="","",VLOOKUP(SMALL('Start List'!$I$9:$I$139,A95),'Start List'!$I$9:$J$14,2,FALSE))</f>
        <v/>
      </c>
      <c r="C95" s="75" t="str">
        <f>IF(OR(B95="",COUNTIF($B$9:B95,B95)=1),"",COUNTIF($B$9:B95,B95)-1)</f>
        <v/>
      </c>
      <c r="D95" s="227" t="str">
        <f ca="1">IF(""=C95,"",LARGE(INDIRECT(VLOOKUP(B95,'Start List'!$J$9:$N$14,5,FALSE)),C95))</f>
        <v/>
      </c>
      <c r="E95" s="79" t="str">
        <f>IF(C95="","",VLOOKUP(B95,Data!$AK$2:$AN$7,4,FALSE)&amp;C95)</f>
        <v/>
      </c>
      <c r="F95" s="80" t="str">
        <f>IF(COUNTIF(Data!$D$2:$D$97,'By Category'!$E95)=0,"",VLOOKUP('By Category'!$E95,Data!$D$2:$H$97,'By Category'!F$8,FALSE))</f>
        <v/>
      </c>
      <c r="G95" s="80" t="str">
        <f>IF(COUNTIF(Data!$D$2:$D$97,'By Category'!$E95)=0,"",VLOOKUP('By Category'!$E95,Data!$D$2:$H$97,'By Category'!G$8,FALSE))</f>
        <v/>
      </c>
      <c r="H95" s="80" t="str">
        <f>IF(COUNTIF(Data!$D$2:$D$97,'By Category'!$E95)=0,"",VLOOKUP('By Category'!$E95,Data!$D$2:$H$97,'By Category'!H$8,FALSE))</f>
        <v/>
      </c>
      <c r="I95" s="80" t="str">
        <f>IF(COUNTIF(Data!$D$2:$D$97,'By Category'!$E95)=0,"",VLOOKUP('By Category'!$E95,Data!$D$2:$H$97,'By Category'!I$8,FALSE))</f>
        <v/>
      </c>
      <c r="J95" s="77" t="str">
        <f ca="1">IF(B95&lt;&gt;B94,B95,IF($D95="","",INDEX('Start List'!$D$15:$D$139,MATCH($D95,'Start List'!$B$15:$B$139,0))))</f>
        <v/>
      </c>
      <c r="K95" s="77" t="str">
        <f ca="1">IF($D95="","",INDEX('Start List'!$E$15:$E$139,MATCH($D95,'Start List'!$B$15:$B$139,0)))</f>
        <v/>
      </c>
      <c r="L95" s="77" t="str">
        <f ca="1">IF($D95="","",INDEX('Start List'!$H$15:$H$139,MATCH($D95,'Start List'!$B$15:$B$139,0)))</f>
        <v/>
      </c>
      <c r="M95" s="79" t="str">
        <f ca="1">IF($D95="","",INDEX('Start List'!$F$15:$F$139,MATCH($D95,'Start List'!$B$15:$B$139,0)))</f>
        <v/>
      </c>
      <c r="N95" s="80" t="str">
        <f ca="1">IF($D95="","",INDEX('Start List'!K$15:K$139,MATCH($D95,'Start List'!$B$15:$B$139,0)))</f>
        <v/>
      </c>
      <c r="O95" s="80" t="str">
        <f ca="1">IF($D95="","",INDEX('Start List'!L$15:L$139,MATCH($D95,'Start List'!$B$15:$B$139,0)))</f>
        <v/>
      </c>
      <c r="P95" s="80" t="str">
        <f ca="1">IF($D95="","",INDEX('Start List'!M$15:M$139,MATCH($D95,'Start List'!$B$15:$B$139,0)))</f>
        <v/>
      </c>
      <c r="Q95" s="80" t="str">
        <f ca="1">IF($D95="","",INDEX('Start List'!N$15:N$139,MATCH($D95,'Start List'!$B$15:$B$139,0)))</f>
        <v/>
      </c>
      <c r="R95" s="80" t="str">
        <f ca="1">IF($D95="","",INDEX('Start List'!O$15:O$139,MATCH($D95,'Start List'!$B$15:$B$139,0)))</f>
        <v/>
      </c>
      <c r="S95" s="80" t="str">
        <f ca="1">IF($D95="","",INDEX('Start List'!P$15:P$139,MATCH($D95,'Start List'!$B$15:$B$139,0)))</f>
        <v/>
      </c>
      <c r="T95" s="80" t="str">
        <f ca="1">IF($D95="","",INDEX('Start List'!Q$15:Q$139,MATCH($D95,'Start List'!$B$15:$B$139,0)))</f>
        <v/>
      </c>
      <c r="U95" s="80" t="str">
        <f ca="1">IF($D95="","",INDEX('Start List'!R$15:R$139,MATCH($D95,'Start List'!$B$15:$B$139,0)))</f>
        <v/>
      </c>
      <c r="V95" s="80" t="str">
        <f ca="1">IF($D95="","",INDEX('Start List'!S$15:S$139,MATCH($D95,'Start List'!$B$15:$B$139,0)))</f>
        <v/>
      </c>
      <c r="W95" s="80" t="str">
        <f ca="1">IF($D95="","",INDEX('Start List'!T$15:T$139,MATCH($D95,'Start List'!$B$15:$B$139,0)))</f>
        <v/>
      </c>
      <c r="X95" s="80" t="str">
        <f ca="1">IF($D95="","",INDEX('Start List'!U$15:U$139,MATCH($D95,'Start List'!$B$15:$B$139,0)))</f>
        <v/>
      </c>
      <c r="Y95" s="80" t="str">
        <f ca="1">IF($D95="","",INDEX('Start List'!V$15:V$139,MATCH($D95,'Start List'!$B$15:$B$139,0)))</f>
        <v/>
      </c>
      <c r="Z95" s="80" t="str">
        <f ca="1">IF($D95="","",INDEX('Start List'!W$15:W$139,MATCH($D95,'Start List'!$B$15:$B$139,0)))</f>
        <v/>
      </c>
      <c r="AA95" s="80" t="str">
        <f ca="1">IF($D95="","",INDEX('Start List'!X$15:X$139,MATCH($D95,'Start List'!$B$15:$B$139,0)))</f>
        <v/>
      </c>
      <c r="AB95" s="80" t="str">
        <f ca="1">IF($D95="","",INDEX('Start List'!Y$15:Y$139,MATCH($D95,'Start List'!$B$15:$B$139,0)))</f>
        <v/>
      </c>
    </row>
    <row r="96" spans="1:28" ht="12.75" x14ac:dyDescent="0.2">
      <c r="A96" s="59" t="str">
        <f>IF(OR(COUNT('Start List'!A:A)+COUNTIF('Start List'!$I$9:$I$14,"&lt;21")='By Category'!A95,A95=""),"",'By Category'!A95+1)</f>
        <v/>
      </c>
      <c r="B96" s="74" t="str">
        <f>IF(A96="","",VLOOKUP(SMALL('Start List'!$I$9:$I$139,A96),'Start List'!$I$9:$J$14,2,FALSE))</f>
        <v/>
      </c>
      <c r="C96" s="75" t="str">
        <f>IF(OR(B96="",COUNTIF($B$9:B96,B96)=1),"",COUNTIF($B$9:B96,B96)-1)</f>
        <v/>
      </c>
      <c r="D96" s="227" t="str">
        <f ca="1">IF(""=C96,"",LARGE(INDIRECT(VLOOKUP(B96,'Start List'!$J$9:$N$14,5,FALSE)),C96))</f>
        <v/>
      </c>
      <c r="E96" s="79" t="str">
        <f>IF(C96="","",VLOOKUP(B96,Data!$AK$2:$AN$7,4,FALSE)&amp;C96)</f>
        <v/>
      </c>
      <c r="F96" s="80" t="str">
        <f>IF(COUNTIF(Data!$D$2:$D$97,'By Category'!$E96)=0,"",VLOOKUP('By Category'!$E96,Data!$D$2:$H$97,'By Category'!F$8,FALSE))</f>
        <v/>
      </c>
      <c r="G96" s="80" t="str">
        <f>IF(COUNTIF(Data!$D$2:$D$97,'By Category'!$E96)=0,"",VLOOKUP('By Category'!$E96,Data!$D$2:$H$97,'By Category'!G$8,FALSE))</f>
        <v/>
      </c>
      <c r="H96" s="80" t="str">
        <f>IF(COUNTIF(Data!$D$2:$D$97,'By Category'!$E96)=0,"",VLOOKUP('By Category'!$E96,Data!$D$2:$H$97,'By Category'!H$8,FALSE))</f>
        <v/>
      </c>
      <c r="I96" s="80" t="str">
        <f>IF(COUNTIF(Data!$D$2:$D$97,'By Category'!$E96)=0,"",VLOOKUP('By Category'!$E96,Data!$D$2:$H$97,'By Category'!I$8,FALSE))</f>
        <v/>
      </c>
      <c r="J96" s="77" t="str">
        <f ca="1">IF(B96&lt;&gt;B95,B96,IF($D96="","",INDEX('Start List'!$D$15:$D$139,MATCH($D96,'Start List'!$B$15:$B$139,0))))</f>
        <v/>
      </c>
      <c r="K96" s="77" t="str">
        <f ca="1">IF($D96="","",INDEX('Start List'!$E$15:$E$139,MATCH($D96,'Start List'!$B$15:$B$139,0)))</f>
        <v/>
      </c>
      <c r="L96" s="77" t="str">
        <f ca="1">IF($D96="","",INDEX('Start List'!$H$15:$H$139,MATCH($D96,'Start List'!$B$15:$B$139,0)))</f>
        <v/>
      </c>
      <c r="M96" s="79" t="str">
        <f ca="1">IF($D96="","",INDEX('Start List'!$F$15:$F$139,MATCH($D96,'Start List'!$B$15:$B$139,0)))</f>
        <v/>
      </c>
      <c r="N96" s="80" t="str">
        <f ca="1">IF($D96="","",INDEX('Start List'!K$15:K$139,MATCH($D96,'Start List'!$B$15:$B$139,0)))</f>
        <v/>
      </c>
      <c r="O96" s="80" t="str">
        <f ca="1">IF($D96="","",INDEX('Start List'!L$15:L$139,MATCH($D96,'Start List'!$B$15:$B$139,0)))</f>
        <v/>
      </c>
      <c r="P96" s="80" t="str">
        <f ca="1">IF($D96="","",INDEX('Start List'!M$15:M$139,MATCH($D96,'Start List'!$B$15:$B$139,0)))</f>
        <v/>
      </c>
      <c r="Q96" s="80" t="str">
        <f ca="1">IF($D96="","",INDEX('Start List'!N$15:N$139,MATCH($D96,'Start List'!$B$15:$B$139,0)))</f>
        <v/>
      </c>
      <c r="R96" s="80" t="str">
        <f ca="1">IF($D96="","",INDEX('Start List'!O$15:O$139,MATCH($D96,'Start List'!$B$15:$B$139,0)))</f>
        <v/>
      </c>
      <c r="S96" s="80" t="str">
        <f ca="1">IF($D96="","",INDEX('Start List'!P$15:P$139,MATCH($D96,'Start List'!$B$15:$B$139,0)))</f>
        <v/>
      </c>
      <c r="T96" s="80" t="str">
        <f ca="1">IF($D96="","",INDEX('Start List'!Q$15:Q$139,MATCH($D96,'Start List'!$B$15:$B$139,0)))</f>
        <v/>
      </c>
      <c r="U96" s="80" t="str">
        <f ca="1">IF($D96="","",INDEX('Start List'!R$15:R$139,MATCH($D96,'Start List'!$B$15:$B$139,0)))</f>
        <v/>
      </c>
      <c r="V96" s="80" t="str">
        <f ca="1">IF($D96="","",INDEX('Start List'!S$15:S$139,MATCH($D96,'Start List'!$B$15:$B$139,0)))</f>
        <v/>
      </c>
      <c r="W96" s="80" t="str">
        <f ca="1">IF($D96="","",INDEX('Start List'!T$15:T$139,MATCH($D96,'Start List'!$B$15:$B$139,0)))</f>
        <v/>
      </c>
      <c r="X96" s="80" t="str">
        <f ca="1">IF($D96="","",INDEX('Start List'!U$15:U$139,MATCH($D96,'Start List'!$B$15:$B$139,0)))</f>
        <v/>
      </c>
      <c r="Y96" s="80" t="str">
        <f ca="1">IF($D96="","",INDEX('Start List'!V$15:V$139,MATCH($D96,'Start List'!$B$15:$B$139,0)))</f>
        <v/>
      </c>
      <c r="Z96" s="80" t="str">
        <f ca="1">IF($D96="","",INDEX('Start List'!W$15:W$139,MATCH($D96,'Start List'!$B$15:$B$139,0)))</f>
        <v/>
      </c>
      <c r="AA96" s="80" t="str">
        <f ca="1">IF($D96="","",INDEX('Start List'!X$15:X$139,MATCH($D96,'Start List'!$B$15:$B$139,0)))</f>
        <v/>
      </c>
      <c r="AB96" s="80" t="str">
        <f ca="1">IF($D96="","",INDEX('Start List'!Y$15:Y$139,MATCH($D96,'Start List'!$B$15:$B$139,0)))</f>
        <v/>
      </c>
    </row>
    <row r="97" spans="1:28" ht="12.75" x14ac:dyDescent="0.2">
      <c r="A97" s="59" t="str">
        <f>IF(OR(COUNT('Start List'!A:A)+COUNTIF('Start List'!$I$9:$I$14,"&lt;21")='By Category'!A96,A96=""),"",'By Category'!A96+1)</f>
        <v/>
      </c>
      <c r="B97" s="74" t="str">
        <f>IF(A97="","",VLOOKUP(SMALL('Start List'!$I$9:$I$139,A97),'Start List'!$I$9:$J$14,2,FALSE))</f>
        <v/>
      </c>
      <c r="C97" s="75" t="str">
        <f>IF(OR(B97="",COUNTIF($B$9:B97,B97)=1),"",COUNTIF($B$9:B97,B97)-1)</f>
        <v/>
      </c>
      <c r="D97" s="227" t="str">
        <f ca="1">IF(""=C97,"",LARGE(INDIRECT(VLOOKUP(B97,'Start List'!$J$9:$N$14,5,FALSE)),C97))</f>
        <v/>
      </c>
      <c r="E97" s="79" t="str">
        <f>IF(C97="","",VLOOKUP(B97,Data!$AK$2:$AN$7,4,FALSE)&amp;C97)</f>
        <v/>
      </c>
      <c r="F97" s="80" t="str">
        <f>IF(COUNTIF(Data!$D$2:$D$97,'By Category'!$E97)=0,"",VLOOKUP('By Category'!$E97,Data!$D$2:$H$97,'By Category'!F$8,FALSE))</f>
        <v/>
      </c>
      <c r="G97" s="80" t="str">
        <f>IF(COUNTIF(Data!$D$2:$D$97,'By Category'!$E97)=0,"",VLOOKUP('By Category'!$E97,Data!$D$2:$H$97,'By Category'!G$8,FALSE))</f>
        <v/>
      </c>
      <c r="H97" s="80" t="str">
        <f>IF(COUNTIF(Data!$D$2:$D$97,'By Category'!$E97)=0,"",VLOOKUP('By Category'!$E97,Data!$D$2:$H$97,'By Category'!H$8,FALSE))</f>
        <v/>
      </c>
      <c r="I97" s="80" t="str">
        <f>IF(COUNTIF(Data!$D$2:$D$97,'By Category'!$E97)=0,"",VLOOKUP('By Category'!$E97,Data!$D$2:$H$97,'By Category'!I$8,FALSE))</f>
        <v/>
      </c>
      <c r="J97" s="77" t="str">
        <f ca="1">IF(B97&lt;&gt;B96,B97,IF($D97="","",INDEX('Start List'!$D$15:$D$139,MATCH($D97,'Start List'!$B$15:$B$139,0))))</f>
        <v/>
      </c>
      <c r="K97" s="77" t="str">
        <f ca="1">IF($D97="","",INDEX('Start List'!$E$15:$E$139,MATCH($D97,'Start List'!$B$15:$B$139,0)))</f>
        <v/>
      </c>
      <c r="L97" s="77" t="str">
        <f ca="1">IF($D97="","",INDEX('Start List'!$H$15:$H$139,MATCH($D97,'Start List'!$B$15:$B$139,0)))</f>
        <v/>
      </c>
      <c r="M97" s="79" t="str">
        <f ca="1">IF($D97="","",INDEX('Start List'!$F$15:$F$139,MATCH($D97,'Start List'!$B$15:$B$139,0)))</f>
        <v/>
      </c>
      <c r="N97" s="80" t="str">
        <f ca="1">IF($D97="","",INDEX('Start List'!K$15:K$139,MATCH($D97,'Start List'!$B$15:$B$139,0)))</f>
        <v/>
      </c>
      <c r="O97" s="80" t="str">
        <f ca="1">IF($D97="","",INDEX('Start List'!L$15:L$139,MATCH($D97,'Start List'!$B$15:$B$139,0)))</f>
        <v/>
      </c>
      <c r="P97" s="80" t="str">
        <f ca="1">IF($D97="","",INDEX('Start List'!M$15:M$139,MATCH($D97,'Start List'!$B$15:$B$139,0)))</f>
        <v/>
      </c>
      <c r="Q97" s="80" t="str">
        <f ca="1">IF($D97="","",INDEX('Start List'!N$15:N$139,MATCH($D97,'Start List'!$B$15:$B$139,0)))</f>
        <v/>
      </c>
      <c r="R97" s="80" t="str">
        <f ca="1">IF($D97="","",INDEX('Start List'!O$15:O$139,MATCH($D97,'Start List'!$B$15:$B$139,0)))</f>
        <v/>
      </c>
      <c r="S97" s="80" t="str">
        <f ca="1">IF($D97="","",INDEX('Start List'!P$15:P$139,MATCH($D97,'Start List'!$B$15:$B$139,0)))</f>
        <v/>
      </c>
      <c r="T97" s="80" t="str">
        <f ca="1">IF($D97="","",INDEX('Start List'!Q$15:Q$139,MATCH($D97,'Start List'!$B$15:$B$139,0)))</f>
        <v/>
      </c>
      <c r="U97" s="80" t="str">
        <f ca="1">IF($D97="","",INDEX('Start List'!R$15:R$139,MATCH($D97,'Start List'!$B$15:$B$139,0)))</f>
        <v/>
      </c>
      <c r="V97" s="80" t="str">
        <f ca="1">IF($D97="","",INDEX('Start List'!S$15:S$139,MATCH($D97,'Start List'!$B$15:$B$139,0)))</f>
        <v/>
      </c>
      <c r="W97" s="80" t="str">
        <f ca="1">IF($D97="","",INDEX('Start List'!T$15:T$139,MATCH($D97,'Start List'!$B$15:$B$139,0)))</f>
        <v/>
      </c>
      <c r="X97" s="80" t="str">
        <f ca="1">IF($D97="","",INDEX('Start List'!U$15:U$139,MATCH($D97,'Start List'!$B$15:$B$139,0)))</f>
        <v/>
      </c>
      <c r="Y97" s="80" t="str">
        <f ca="1">IF($D97="","",INDEX('Start List'!V$15:V$139,MATCH($D97,'Start List'!$B$15:$B$139,0)))</f>
        <v/>
      </c>
      <c r="Z97" s="80" t="str">
        <f ca="1">IF($D97="","",INDEX('Start List'!W$15:W$139,MATCH($D97,'Start List'!$B$15:$B$139,0)))</f>
        <v/>
      </c>
      <c r="AA97" s="80" t="str">
        <f ca="1">IF($D97="","",INDEX('Start List'!X$15:X$139,MATCH($D97,'Start List'!$B$15:$B$139,0)))</f>
        <v/>
      </c>
      <c r="AB97" s="80" t="str">
        <f ca="1">IF($D97="","",INDEX('Start List'!Y$15:Y$139,MATCH($D97,'Start List'!$B$15:$B$139,0)))</f>
        <v/>
      </c>
    </row>
    <row r="98" spans="1:28" ht="12.75" x14ac:dyDescent="0.2">
      <c r="A98" s="59" t="str">
        <f>IF(OR(COUNT('Start List'!A:A)+COUNTIF('Start List'!$I$9:$I$14,"&lt;21")='By Category'!A97,A97=""),"",'By Category'!A97+1)</f>
        <v/>
      </c>
      <c r="B98" s="74" t="str">
        <f>IF(A98="","",VLOOKUP(SMALL('Start List'!$I$9:$I$139,A98),'Start List'!$I$9:$J$14,2,FALSE))</f>
        <v/>
      </c>
      <c r="C98" s="75" t="str">
        <f>IF(OR(B98="",COUNTIF($B$9:B98,B98)=1),"",COUNTIF($B$9:B98,B98)-1)</f>
        <v/>
      </c>
      <c r="D98" s="227" t="str">
        <f ca="1">IF(""=C98,"",LARGE(INDIRECT(VLOOKUP(B98,'Start List'!$J$9:$N$14,5,FALSE)),C98))</f>
        <v/>
      </c>
      <c r="E98" s="79" t="str">
        <f>IF(C98="","",VLOOKUP(B98,Data!$AK$2:$AN$7,4,FALSE)&amp;C98)</f>
        <v/>
      </c>
      <c r="F98" s="80" t="str">
        <f>IF(COUNTIF(Data!$D$2:$D$97,'By Category'!$E98)=0,"",VLOOKUP('By Category'!$E98,Data!$D$2:$H$97,'By Category'!F$8,FALSE))</f>
        <v/>
      </c>
      <c r="G98" s="80" t="str">
        <f>IF(COUNTIF(Data!$D$2:$D$97,'By Category'!$E98)=0,"",VLOOKUP('By Category'!$E98,Data!$D$2:$H$97,'By Category'!G$8,FALSE))</f>
        <v/>
      </c>
      <c r="H98" s="80" t="str">
        <f>IF(COUNTIF(Data!$D$2:$D$97,'By Category'!$E98)=0,"",VLOOKUP('By Category'!$E98,Data!$D$2:$H$97,'By Category'!H$8,FALSE))</f>
        <v/>
      </c>
      <c r="I98" s="80" t="str">
        <f>IF(COUNTIF(Data!$D$2:$D$97,'By Category'!$E98)=0,"",VLOOKUP('By Category'!$E98,Data!$D$2:$H$97,'By Category'!I$8,FALSE))</f>
        <v/>
      </c>
      <c r="J98" s="77" t="str">
        <f ca="1">IF(B98&lt;&gt;B97,B98,IF($D98="","",INDEX('Start List'!$D$15:$D$139,MATCH($D98,'Start List'!$B$15:$B$139,0))))</f>
        <v/>
      </c>
      <c r="K98" s="77" t="str">
        <f ca="1">IF($D98="","",INDEX('Start List'!$E$15:$E$139,MATCH($D98,'Start List'!$B$15:$B$139,0)))</f>
        <v/>
      </c>
      <c r="L98" s="77" t="str">
        <f ca="1">IF($D98="","",INDEX('Start List'!$H$15:$H$139,MATCH($D98,'Start List'!$B$15:$B$139,0)))</f>
        <v/>
      </c>
      <c r="M98" s="79" t="str">
        <f ca="1">IF($D98="","",INDEX('Start List'!$F$15:$F$139,MATCH($D98,'Start List'!$B$15:$B$139,0)))</f>
        <v/>
      </c>
      <c r="N98" s="80" t="str">
        <f ca="1">IF($D98="","",INDEX('Start List'!K$15:K$139,MATCH($D98,'Start List'!$B$15:$B$139,0)))</f>
        <v/>
      </c>
      <c r="O98" s="80" t="str">
        <f ca="1">IF($D98="","",INDEX('Start List'!L$15:L$139,MATCH($D98,'Start List'!$B$15:$B$139,0)))</f>
        <v/>
      </c>
      <c r="P98" s="80" t="str">
        <f ca="1">IF($D98="","",INDEX('Start List'!M$15:M$139,MATCH($D98,'Start List'!$B$15:$B$139,0)))</f>
        <v/>
      </c>
      <c r="Q98" s="80" t="str">
        <f ca="1">IF($D98="","",INDEX('Start List'!N$15:N$139,MATCH($D98,'Start List'!$B$15:$B$139,0)))</f>
        <v/>
      </c>
      <c r="R98" s="80" t="str">
        <f ca="1">IF($D98="","",INDEX('Start List'!O$15:O$139,MATCH($D98,'Start List'!$B$15:$B$139,0)))</f>
        <v/>
      </c>
      <c r="S98" s="80" t="str">
        <f ca="1">IF($D98="","",INDEX('Start List'!P$15:P$139,MATCH($D98,'Start List'!$B$15:$B$139,0)))</f>
        <v/>
      </c>
      <c r="T98" s="80" t="str">
        <f ca="1">IF($D98="","",INDEX('Start List'!Q$15:Q$139,MATCH($D98,'Start List'!$B$15:$B$139,0)))</f>
        <v/>
      </c>
      <c r="U98" s="80" t="str">
        <f ca="1">IF($D98="","",INDEX('Start List'!R$15:R$139,MATCH($D98,'Start List'!$B$15:$B$139,0)))</f>
        <v/>
      </c>
      <c r="V98" s="80" t="str">
        <f ca="1">IF($D98="","",INDEX('Start List'!S$15:S$139,MATCH($D98,'Start List'!$B$15:$B$139,0)))</f>
        <v/>
      </c>
      <c r="W98" s="80" t="str">
        <f ca="1">IF($D98="","",INDEX('Start List'!T$15:T$139,MATCH($D98,'Start List'!$B$15:$B$139,0)))</f>
        <v/>
      </c>
      <c r="X98" s="80" t="str">
        <f ca="1">IF($D98="","",INDEX('Start List'!U$15:U$139,MATCH($D98,'Start List'!$B$15:$B$139,0)))</f>
        <v/>
      </c>
      <c r="Y98" s="80" t="str">
        <f ca="1">IF($D98="","",INDEX('Start List'!V$15:V$139,MATCH($D98,'Start List'!$B$15:$B$139,0)))</f>
        <v/>
      </c>
      <c r="Z98" s="80" t="str">
        <f ca="1">IF($D98="","",INDEX('Start List'!W$15:W$139,MATCH($D98,'Start List'!$B$15:$B$139,0)))</f>
        <v/>
      </c>
      <c r="AA98" s="80" t="str">
        <f ca="1">IF($D98="","",INDEX('Start List'!X$15:X$139,MATCH($D98,'Start List'!$B$15:$B$139,0)))</f>
        <v/>
      </c>
      <c r="AB98" s="80" t="str">
        <f ca="1">IF($D98="","",INDEX('Start List'!Y$15:Y$139,MATCH($D98,'Start List'!$B$15:$B$139,0)))</f>
        <v/>
      </c>
    </row>
    <row r="99" spans="1:28" ht="12.75" x14ac:dyDescent="0.2">
      <c r="A99" s="59" t="str">
        <f>IF(OR(COUNT('Start List'!A:A)+COUNTIF('Start List'!$I$9:$I$14,"&lt;21")='By Category'!A98,A98=""),"",'By Category'!A98+1)</f>
        <v/>
      </c>
      <c r="B99" s="74" t="str">
        <f>IF(A99="","",VLOOKUP(SMALL('Start List'!$I$9:$I$139,A99),'Start List'!$I$9:$J$14,2,FALSE))</f>
        <v/>
      </c>
      <c r="C99" s="75" t="str">
        <f>IF(OR(B99="",COUNTIF($B$9:B99,B99)=1),"",COUNTIF($B$9:B99,B99)-1)</f>
        <v/>
      </c>
      <c r="D99" s="227" t="str">
        <f ca="1">IF(""=C99,"",LARGE(INDIRECT(VLOOKUP(B99,'Start List'!$J$9:$N$14,5,FALSE)),C99))</f>
        <v/>
      </c>
      <c r="E99" s="79" t="str">
        <f>IF(C99="","",VLOOKUP(B99,Data!$AK$2:$AN$7,4,FALSE)&amp;C99)</f>
        <v/>
      </c>
      <c r="F99" s="80" t="str">
        <f>IF(COUNTIF(Data!$D$2:$D$97,'By Category'!$E99)=0,"",VLOOKUP('By Category'!$E99,Data!$D$2:$H$97,'By Category'!F$8,FALSE))</f>
        <v/>
      </c>
      <c r="G99" s="80" t="str">
        <f>IF(COUNTIF(Data!$D$2:$D$97,'By Category'!$E99)=0,"",VLOOKUP('By Category'!$E99,Data!$D$2:$H$97,'By Category'!G$8,FALSE))</f>
        <v/>
      </c>
      <c r="H99" s="80" t="str">
        <f>IF(COUNTIF(Data!$D$2:$D$97,'By Category'!$E99)=0,"",VLOOKUP('By Category'!$E99,Data!$D$2:$H$97,'By Category'!H$8,FALSE))</f>
        <v/>
      </c>
      <c r="I99" s="80" t="str">
        <f>IF(COUNTIF(Data!$D$2:$D$97,'By Category'!$E99)=0,"",VLOOKUP('By Category'!$E99,Data!$D$2:$H$97,'By Category'!I$8,FALSE))</f>
        <v/>
      </c>
      <c r="J99" s="77" t="str">
        <f ca="1">IF(B99&lt;&gt;B98,B99,IF($D99="","",INDEX('Start List'!$D$15:$D$139,MATCH($D99,'Start List'!$B$15:$B$139,0))))</f>
        <v/>
      </c>
      <c r="K99" s="77" t="str">
        <f ca="1">IF($D99="","",INDEX('Start List'!$E$15:$E$139,MATCH($D99,'Start List'!$B$15:$B$139,0)))</f>
        <v/>
      </c>
      <c r="L99" s="77" t="str">
        <f ca="1">IF($D99="","",INDEX('Start List'!$H$15:$H$139,MATCH($D99,'Start List'!$B$15:$B$139,0)))</f>
        <v/>
      </c>
      <c r="M99" s="79" t="str">
        <f ca="1">IF($D99="","",INDEX('Start List'!$F$15:$F$139,MATCH($D99,'Start List'!$B$15:$B$139,0)))</f>
        <v/>
      </c>
      <c r="N99" s="80" t="str">
        <f ca="1">IF($D99="","",INDEX('Start List'!K$15:K$139,MATCH($D99,'Start List'!$B$15:$B$139,0)))</f>
        <v/>
      </c>
      <c r="O99" s="80" t="str">
        <f ca="1">IF($D99="","",INDEX('Start List'!L$15:L$139,MATCH($D99,'Start List'!$B$15:$B$139,0)))</f>
        <v/>
      </c>
      <c r="P99" s="80" t="str">
        <f ca="1">IF($D99="","",INDEX('Start List'!M$15:M$139,MATCH($D99,'Start List'!$B$15:$B$139,0)))</f>
        <v/>
      </c>
      <c r="Q99" s="80" t="str">
        <f ca="1">IF($D99="","",INDEX('Start List'!N$15:N$139,MATCH($D99,'Start List'!$B$15:$B$139,0)))</f>
        <v/>
      </c>
      <c r="R99" s="80" t="str">
        <f ca="1">IF($D99="","",INDEX('Start List'!O$15:O$139,MATCH($D99,'Start List'!$B$15:$B$139,0)))</f>
        <v/>
      </c>
      <c r="S99" s="80" t="str">
        <f ca="1">IF($D99="","",INDEX('Start List'!P$15:P$139,MATCH($D99,'Start List'!$B$15:$B$139,0)))</f>
        <v/>
      </c>
      <c r="T99" s="80" t="str">
        <f ca="1">IF($D99="","",INDEX('Start List'!Q$15:Q$139,MATCH($D99,'Start List'!$B$15:$B$139,0)))</f>
        <v/>
      </c>
      <c r="U99" s="80" t="str">
        <f ca="1">IF($D99="","",INDEX('Start List'!R$15:R$139,MATCH($D99,'Start List'!$B$15:$B$139,0)))</f>
        <v/>
      </c>
      <c r="V99" s="80" t="str">
        <f ca="1">IF($D99="","",INDEX('Start List'!S$15:S$139,MATCH($D99,'Start List'!$B$15:$B$139,0)))</f>
        <v/>
      </c>
      <c r="W99" s="80" t="str">
        <f ca="1">IF($D99="","",INDEX('Start List'!T$15:T$139,MATCH($D99,'Start List'!$B$15:$B$139,0)))</f>
        <v/>
      </c>
      <c r="X99" s="80" t="str">
        <f ca="1">IF($D99="","",INDEX('Start List'!U$15:U$139,MATCH($D99,'Start List'!$B$15:$B$139,0)))</f>
        <v/>
      </c>
      <c r="Y99" s="80" t="str">
        <f ca="1">IF($D99="","",INDEX('Start List'!V$15:V$139,MATCH($D99,'Start List'!$B$15:$B$139,0)))</f>
        <v/>
      </c>
      <c r="Z99" s="80" t="str">
        <f ca="1">IF($D99="","",INDEX('Start List'!W$15:W$139,MATCH($D99,'Start List'!$B$15:$B$139,0)))</f>
        <v/>
      </c>
      <c r="AA99" s="80" t="str">
        <f ca="1">IF($D99="","",INDEX('Start List'!X$15:X$139,MATCH($D99,'Start List'!$B$15:$B$139,0)))</f>
        <v/>
      </c>
      <c r="AB99" s="80" t="str">
        <f ca="1">IF($D99="","",INDEX('Start List'!Y$15:Y$139,MATCH($D99,'Start List'!$B$15:$B$139,0)))</f>
        <v/>
      </c>
    </row>
    <row r="100" spans="1:28" ht="12.75" x14ac:dyDescent="0.2">
      <c r="A100" s="59" t="str">
        <f>IF(OR(COUNT('Start List'!A:A)+COUNTIF('Start List'!$I$9:$I$14,"&lt;21")='By Category'!A99,A99=""),"",'By Category'!A99+1)</f>
        <v/>
      </c>
      <c r="B100" s="74" t="str">
        <f>IF(A100="","",VLOOKUP(SMALL('Start List'!$I$9:$I$139,A100),'Start List'!$I$9:$J$14,2,FALSE))</f>
        <v/>
      </c>
      <c r="C100" s="75" t="str">
        <f>IF(OR(B100="",COUNTIF($B$9:B100,B100)=1),"",COUNTIF($B$9:B100,B100)-1)</f>
        <v/>
      </c>
      <c r="D100" s="227" t="str">
        <f ca="1">IF(""=C100,"",LARGE(INDIRECT(VLOOKUP(B100,'Start List'!$J$9:$N$14,5,FALSE)),C100))</f>
        <v/>
      </c>
      <c r="E100" s="79" t="str">
        <f>IF(C100="","",VLOOKUP(B100,Data!$AK$2:$AN$7,4,FALSE)&amp;C100)</f>
        <v/>
      </c>
      <c r="F100" s="80" t="str">
        <f>IF(COUNTIF(Data!$D$2:$D$97,'By Category'!$E100)=0,"",VLOOKUP('By Category'!$E100,Data!$D$2:$H$97,'By Category'!F$8,FALSE))</f>
        <v/>
      </c>
      <c r="G100" s="80" t="str">
        <f>IF(COUNTIF(Data!$D$2:$D$97,'By Category'!$E100)=0,"",VLOOKUP('By Category'!$E100,Data!$D$2:$H$97,'By Category'!G$8,FALSE))</f>
        <v/>
      </c>
      <c r="H100" s="80" t="str">
        <f>IF(COUNTIF(Data!$D$2:$D$97,'By Category'!$E100)=0,"",VLOOKUP('By Category'!$E100,Data!$D$2:$H$97,'By Category'!H$8,FALSE))</f>
        <v/>
      </c>
      <c r="I100" s="80" t="str">
        <f>IF(COUNTIF(Data!$D$2:$D$97,'By Category'!$E100)=0,"",VLOOKUP('By Category'!$E100,Data!$D$2:$H$97,'By Category'!I$8,FALSE))</f>
        <v/>
      </c>
      <c r="J100" s="77" t="str">
        <f ca="1">IF(B100&lt;&gt;B99,B100,IF($D100="","",INDEX('Start List'!$D$15:$D$139,MATCH($D100,'Start List'!$B$15:$B$139,0))))</f>
        <v/>
      </c>
      <c r="K100" s="77" t="str">
        <f ca="1">IF($D100="","",INDEX('Start List'!$E$15:$E$139,MATCH($D100,'Start List'!$B$15:$B$139,0)))</f>
        <v/>
      </c>
      <c r="L100" s="77" t="str">
        <f ca="1">IF($D100="","",INDEX('Start List'!$H$15:$H$139,MATCH($D100,'Start List'!$B$15:$B$139,0)))</f>
        <v/>
      </c>
      <c r="M100" s="79" t="str">
        <f ca="1">IF($D100="","",INDEX('Start List'!$F$15:$F$139,MATCH($D100,'Start List'!$B$15:$B$139,0)))</f>
        <v/>
      </c>
      <c r="N100" s="80" t="str">
        <f ca="1">IF($D100="","",INDEX('Start List'!K$15:K$139,MATCH($D100,'Start List'!$B$15:$B$139,0)))</f>
        <v/>
      </c>
      <c r="O100" s="80" t="str">
        <f ca="1">IF($D100="","",INDEX('Start List'!L$15:L$139,MATCH($D100,'Start List'!$B$15:$B$139,0)))</f>
        <v/>
      </c>
      <c r="P100" s="80" t="str">
        <f ca="1">IF($D100="","",INDEX('Start List'!M$15:M$139,MATCH($D100,'Start List'!$B$15:$B$139,0)))</f>
        <v/>
      </c>
      <c r="Q100" s="80" t="str">
        <f ca="1">IF($D100="","",INDEX('Start List'!N$15:N$139,MATCH($D100,'Start List'!$B$15:$B$139,0)))</f>
        <v/>
      </c>
      <c r="R100" s="80" t="str">
        <f ca="1">IF($D100="","",INDEX('Start List'!O$15:O$139,MATCH($D100,'Start List'!$B$15:$B$139,0)))</f>
        <v/>
      </c>
      <c r="S100" s="80" t="str">
        <f ca="1">IF($D100="","",INDEX('Start List'!P$15:P$139,MATCH($D100,'Start List'!$B$15:$B$139,0)))</f>
        <v/>
      </c>
      <c r="T100" s="80" t="str">
        <f ca="1">IF($D100="","",INDEX('Start List'!Q$15:Q$139,MATCH($D100,'Start List'!$B$15:$B$139,0)))</f>
        <v/>
      </c>
      <c r="U100" s="80" t="str">
        <f ca="1">IF($D100="","",INDEX('Start List'!R$15:R$139,MATCH($D100,'Start List'!$B$15:$B$139,0)))</f>
        <v/>
      </c>
      <c r="V100" s="80" t="str">
        <f ca="1">IF($D100="","",INDEX('Start List'!S$15:S$139,MATCH($D100,'Start List'!$B$15:$B$139,0)))</f>
        <v/>
      </c>
      <c r="W100" s="80" t="str">
        <f ca="1">IF($D100="","",INDEX('Start List'!T$15:T$139,MATCH($D100,'Start List'!$B$15:$B$139,0)))</f>
        <v/>
      </c>
      <c r="X100" s="80" t="str">
        <f ca="1">IF($D100="","",INDEX('Start List'!U$15:U$139,MATCH($D100,'Start List'!$B$15:$B$139,0)))</f>
        <v/>
      </c>
      <c r="Y100" s="80" t="str">
        <f ca="1">IF($D100="","",INDEX('Start List'!V$15:V$139,MATCH($D100,'Start List'!$B$15:$B$139,0)))</f>
        <v/>
      </c>
      <c r="Z100" s="80" t="str">
        <f ca="1">IF($D100="","",INDEX('Start List'!W$15:W$139,MATCH($D100,'Start List'!$B$15:$B$139,0)))</f>
        <v/>
      </c>
      <c r="AA100" s="80" t="str">
        <f ca="1">IF($D100="","",INDEX('Start List'!X$15:X$139,MATCH($D100,'Start List'!$B$15:$B$139,0)))</f>
        <v/>
      </c>
      <c r="AB100" s="80" t="str">
        <f ca="1">IF($D100="","",INDEX('Start List'!Y$15:Y$139,MATCH($D100,'Start List'!$B$15:$B$139,0)))</f>
        <v/>
      </c>
    </row>
    <row r="101" spans="1:28" ht="12.75" x14ac:dyDescent="0.2">
      <c r="A101" s="59" t="str">
        <f>IF(OR(COUNT('Start List'!A:A)+COUNTIF('Start List'!$I$9:$I$14,"&lt;21")='By Category'!A100,A100=""),"",'By Category'!A100+1)</f>
        <v/>
      </c>
      <c r="B101" s="74" t="str">
        <f>IF(A101="","",VLOOKUP(SMALL('Start List'!$I$9:$I$139,A101),'Start List'!$I$9:$J$14,2,FALSE))</f>
        <v/>
      </c>
      <c r="C101" s="75" t="str">
        <f>IF(OR(B101="",COUNTIF($B$9:B101,B101)=1),"",COUNTIF($B$9:B101,B101)-1)</f>
        <v/>
      </c>
      <c r="D101" s="227" t="str">
        <f ca="1">IF(""=C101,"",LARGE(INDIRECT(VLOOKUP(B101,'Start List'!$J$9:$N$14,5,FALSE)),C101))</f>
        <v/>
      </c>
      <c r="E101" s="79" t="str">
        <f>IF(C101="","",VLOOKUP(B101,Data!$AK$2:$AN$7,4,FALSE)&amp;C101)</f>
        <v/>
      </c>
      <c r="F101" s="80" t="str">
        <f>IF(COUNTIF(Data!$D$2:$D$97,'By Category'!$E101)=0,"",VLOOKUP('By Category'!$E101,Data!$D$2:$H$97,'By Category'!F$8,FALSE))</f>
        <v/>
      </c>
      <c r="G101" s="80" t="str">
        <f>IF(COUNTIF(Data!$D$2:$D$97,'By Category'!$E101)=0,"",VLOOKUP('By Category'!$E101,Data!$D$2:$H$97,'By Category'!G$8,FALSE))</f>
        <v/>
      </c>
      <c r="H101" s="80" t="str">
        <f>IF(COUNTIF(Data!$D$2:$D$97,'By Category'!$E101)=0,"",VLOOKUP('By Category'!$E101,Data!$D$2:$H$97,'By Category'!H$8,FALSE))</f>
        <v/>
      </c>
      <c r="I101" s="80" t="str">
        <f>IF(COUNTIF(Data!$D$2:$D$97,'By Category'!$E101)=0,"",VLOOKUP('By Category'!$E101,Data!$D$2:$H$97,'By Category'!I$8,FALSE))</f>
        <v/>
      </c>
      <c r="J101" s="77" t="str">
        <f ca="1">IF(B101&lt;&gt;B100,B101,IF($D101="","",INDEX('Start List'!$D$15:$D$139,MATCH($D101,'Start List'!$B$15:$B$139,0))))</f>
        <v/>
      </c>
      <c r="K101" s="77" t="str">
        <f ca="1">IF($D101="","",INDEX('Start List'!$E$15:$E$139,MATCH($D101,'Start List'!$B$15:$B$139,0)))</f>
        <v/>
      </c>
      <c r="L101" s="77" t="str">
        <f ca="1">IF($D101="","",INDEX('Start List'!$H$15:$H$139,MATCH($D101,'Start List'!$B$15:$B$139,0)))</f>
        <v/>
      </c>
      <c r="M101" s="79" t="str">
        <f ca="1">IF($D101="","",INDEX('Start List'!$F$15:$F$139,MATCH($D101,'Start List'!$B$15:$B$139,0)))</f>
        <v/>
      </c>
      <c r="N101" s="80" t="str">
        <f ca="1">IF($D101="","",INDEX('Start List'!K$15:K$139,MATCH($D101,'Start List'!$B$15:$B$139,0)))</f>
        <v/>
      </c>
      <c r="O101" s="80" t="str">
        <f ca="1">IF($D101="","",INDEX('Start List'!L$15:L$139,MATCH($D101,'Start List'!$B$15:$B$139,0)))</f>
        <v/>
      </c>
      <c r="P101" s="80" t="str">
        <f ca="1">IF($D101="","",INDEX('Start List'!M$15:M$139,MATCH($D101,'Start List'!$B$15:$B$139,0)))</f>
        <v/>
      </c>
      <c r="Q101" s="80" t="str">
        <f ca="1">IF($D101="","",INDEX('Start List'!N$15:N$139,MATCH($D101,'Start List'!$B$15:$B$139,0)))</f>
        <v/>
      </c>
      <c r="R101" s="80" t="str">
        <f ca="1">IF($D101="","",INDEX('Start List'!O$15:O$139,MATCH($D101,'Start List'!$B$15:$B$139,0)))</f>
        <v/>
      </c>
      <c r="S101" s="80" t="str">
        <f ca="1">IF($D101="","",INDEX('Start List'!P$15:P$139,MATCH($D101,'Start List'!$B$15:$B$139,0)))</f>
        <v/>
      </c>
      <c r="T101" s="80" t="str">
        <f ca="1">IF($D101="","",INDEX('Start List'!Q$15:Q$139,MATCH($D101,'Start List'!$B$15:$B$139,0)))</f>
        <v/>
      </c>
      <c r="U101" s="80" t="str">
        <f ca="1">IF($D101="","",INDEX('Start List'!R$15:R$139,MATCH($D101,'Start List'!$B$15:$B$139,0)))</f>
        <v/>
      </c>
      <c r="V101" s="80" t="str">
        <f ca="1">IF($D101="","",INDEX('Start List'!S$15:S$139,MATCH($D101,'Start List'!$B$15:$B$139,0)))</f>
        <v/>
      </c>
      <c r="W101" s="80" t="str">
        <f ca="1">IF($D101="","",INDEX('Start List'!T$15:T$139,MATCH($D101,'Start List'!$B$15:$B$139,0)))</f>
        <v/>
      </c>
      <c r="X101" s="80" t="str">
        <f ca="1">IF($D101="","",INDEX('Start List'!U$15:U$139,MATCH($D101,'Start List'!$B$15:$B$139,0)))</f>
        <v/>
      </c>
      <c r="Y101" s="80" t="str">
        <f ca="1">IF($D101="","",INDEX('Start List'!V$15:V$139,MATCH($D101,'Start List'!$B$15:$B$139,0)))</f>
        <v/>
      </c>
      <c r="Z101" s="80" t="str">
        <f ca="1">IF($D101="","",INDEX('Start List'!W$15:W$139,MATCH($D101,'Start List'!$B$15:$B$139,0)))</f>
        <v/>
      </c>
      <c r="AA101" s="80" t="str">
        <f ca="1">IF($D101="","",INDEX('Start List'!X$15:X$139,MATCH($D101,'Start List'!$B$15:$B$139,0)))</f>
        <v/>
      </c>
      <c r="AB101" s="80" t="str">
        <f ca="1">IF($D101="","",INDEX('Start List'!Y$15:Y$139,MATCH($D101,'Start List'!$B$15:$B$139,0)))</f>
        <v/>
      </c>
    </row>
    <row r="102" spans="1:28" ht="12.75" x14ac:dyDescent="0.2">
      <c r="A102" s="59" t="str">
        <f>IF(OR(COUNT('Start List'!A:A)+COUNTIF('Start List'!$I$9:$I$14,"&lt;21")='By Category'!A101,A101=""),"",'By Category'!A101+1)</f>
        <v/>
      </c>
      <c r="B102" s="74" t="str">
        <f>IF(A102="","",VLOOKUP(SMALL('Start List'!$I$9:$I$139,A102),'Start List'!$I$9:$J$14,2,FALSE))</f>
        <v/>
      </c>
      <c r="C102" s="75" t="str">
        <f>IF(OR(B102="",COUNTIF($B$9:B102,B102)=1),"",COUNTIF($B$9:B102,B102)-1)</f>
        <v/>
      </c>
      <c r="D102" s="227" t="str">
        <f ca="1">IF(""=C102,"",LARGE(INDIRECT(VLOOKUP(B102,'Start List'!$J$9:$N$14,5,FALSE)),C102))</f>
        <v/>
      </c>
      <c r="E102" s="79" t="str">
        <f>IF(C102="","",VLOOKUP(B102,Data!$AK$2:$AN$7,4,FALSE)&amp;C102)</f>
        <v/>
      </c>
      <c r="F102" s="80" t="str">
        <f>IF(COUNTIF(Data!$D$2:$D$97,'By Category'!$E102)=0,"",VLOOKUP('By Category'!$E102,Data!$D$2:$H$97,'By Category'!F$8,FALSE))</f>
        <v/>
      </c>
      <c r="G102" s="80" t="str">
        <f>IF(COUNTIF(Data!$D$2:$D$97,'By Category'!$E102)=0,"",VLOOKUP('By Category'!$E102,Data!$D$2:$H$97,'By Category'!G$8,FALSE))</f>
        <v/>
      </c>
      <c r="H102" s="80" t="str">
        <f>IF(COUNTIF(Data!$D$2:$D$97,'By Category'!$E102)=0,"",VLOOKUP('By Category'!$E102,Data!$D$2:$H$97,'By Category'!H$8,FALSE))</f>
        <v/>
      </c>
      <c r="I102" s="80" t="str">
        <f>IF(COUNTIF(Data!$D$2:$D$97,'By Category'!$E102)=0,"",VLOOKUP('By Category'!$E102,Data!$D$2:$H$97,'By Category'!I$8,FALSE))</f>
        <v/>
      </c>
      <c r="J102" s="77" t="str">
        <f ca="1">IF(B102&lt;&gt;B101,B102,IF($D102="","",INDEX('Start List'!$D$15:$D$139,MATCH($D102,'Start List'!$B$15:$B$139,0))))</f>
        <v/>
      </c>
      <c r="K102" s="77" t="str">
        <f ca="1">IF($D102="","",INDEX('Start List'!$E$15:$E$139,MATCH($D102,'Start List'!$B$15:$B$139,0)))</f>
        <v/>
      </c>
      <c r="L102" s="77" t="str">
        <f ca="1">IF($D102="","",INDEX('Start List'!$H$15:$H$139,MATCH($D102,'Start List'!$B$15:$B$139,0)))</f>
        <v/>
      </c>
      <c r="M102" s="79" t="str">
        <f ca="1">IF($D102="","",INDEX('Start List'!$F$15:$F$139,MATCH($D102,'Start List'!$B$15:$B$139,0)))</f>
        <v/>
      </c>
      <c r="N102" s="80" t="str">
        <f ca="1">IF($D102="","",INDEX('Start List'!K$15:K$139,MATCH($D102,'Start List'!$B$15:$B$139,0)))</f>
        <v/>
      </c>
      <c r="O102" s="80" t="str">
        <f ca="1">IF($D102="","",INDEX('Start List'!L$15:L$139,MATCH($D102,'Start List'!$B$15:$B$139,0)))</f>
        <v/>
      </c>
      <c r="P102" s="80" t="str">
        <f ca="1">IF($D102="","",INDEX('Start List'!M$15:M$139,MATCH($D102,'Start List'!$B$15:$B$139,0)))</f>
        <v/>
      </c>
      <c r="Q102" s="80" t="str">
        <f ca="1">IF($D102="","",INDEX('Start List'!N$15:N$139,MATCH($D102,'Start List'!$B$15:$B$139,0)))</f>
        <v/>
      </c>
      <c r="R102" s="80" t="str">
        <f ca="1">IF($D102="","",INDEX('Start List'!O$15:O$139,MATCH($D102,'Start List'!$B$15:$B$139,0)))</f>
        <v/>
      </c>
      <c r="S102" s="80" t="str">
        <f ca="1">IF($D102="","",INDEX('Start List'!P$15:P$139,MATCH($D102,'Start List'!$B$15:$B$139,0)))</f>
        <v/>
      </c>
      <c r="T102" s="80" t="str">
        <f ca="1">IF($D102="","",INDEX('Start List'!Q$15:Q$139,MATCH($D102,'Start List'!$B$15:$B$139,0)))</f>
        <v/>
      </c>
      <c r="U102" s="80" t="str">
        <f ca="1">IF($D102="","",INDEX('Start List'!R$15:R$139,MATCH($D102,'Start List'!$B$15:$B$139,0)))</f>
        <v/>
      </c>
      <c r="V102" s="80" t="str">
        <f ca="1">IF($D102="","",INDEX('Start List'!S$15:S$139,MATCH($D102,'Start List'!$B$15:$B$139,0)))</f>
        <v/>
      </c>
      <c r="W102" s="80" t="str">
        <f ca="1">IF($D102="","",INDEX('Start List'!T$15:T$139,MATCH($D102,'Start List'!$B$15:$B$139,0)))</f>
        <v/>
      </c>
      <c r="X102" s="80" t="str">
        <f ca="1">IF($D102="","",INDEX('Start List'!U$15:U$139,MATCH($D102,'Start List'!$B$15:$B$139,0)))</f>
        <v/>
      </c>
      <c r="Y102" s="80" t="str">
        <f ca="1">IF($D102="","",INDEX('Start List'!V$15:V$139,MATCH($D102,'Start List'!$B$15:$B$139,0)))</f>
        <v/>
      </c>
      <c r="Z102" s="80" t="str">
        <f ca="1">IF($D102="","",INDEX('Start List'!W$15:W$139,MATCH($D102,'Start List'!$B$15:$B$139,0)))</f>
        <v/>
      </c>
      <c r="AA102" s="80" t="str">
        <f ca="1">IF($D102="","",INDEX('Start List'!X$15:X$139,MATCH($D102,'Start List'!$B$15:$B$139,0)))</f>
        <v/>
      </c>
      <c r="AB102" s="80" t="str">
        <f ca="1">IF($D102="","",INDEX('Start List'!Y$15:Y$139,MATCH($D102,'Start List'!$B$15:$B$139,0)))</f>
        <v/>
      </c>
    </row>
    <row r="103" spans="1:28" ht="12.75" x14ac:dyDescent="0.2">
      <c r="A103" s="59" t="str">
        <f>IF(OR(COUNT('Start List'!A:A)+COUNTIF('Start List'!$I$9:$I$14,"&lt;21")='By Category'!A102,A102=""),"",'By Category'!A102+1)</f>
        <v/>
      </c>
      <c r="B103" s="74" t="str">
        <f>IF(A103="","",VLOOKUP(SMALL('Start List'!$I$9:$I$139,A103),'Start List'!$I$9:$J$14,2,FALSE))</f>
        <v/>
      </c>
      <c r="C103" s="75" t="str">
        <f>IF(OR(B103="",COUNTIF($B$9:B103,B103)=1),"",COUNTIF($B$9:B103,B103)-1)</f>
        <v/>
      </c>
      <c r="D103" s="227" t="str">
        <f ca="1">IF(""=C103,"",LARGE(INDIRECT(VLOOKUP(B103,'Start List'!$J$9:$N$14,5,FALSE)),C103))</f>
        <v/>
      </c>
      <c r="E103" s="79" t="str">
        <f>IF(C103="","",VLOOKUP(B103,Data!$AK$2:$AN$7,4,FALSE)&amp;C103)</f>
        <v/>
      </c>
      <c r="F103" s="80" t="str">
        <f>IF(COUNTIF(Data!$D$2:$D$97,'By Category'!$E103)=0,"",VLOOKUP('By Category'!$E103,Data!$D$2:$H$97,'By Category'!F$8,FALSE))</f>
        <v/>
      </c>
      <c r="G103" s="80" t="str">
        <f>IF(COUNTIF(Data!$D$2:$D$97,'By Category'!$E103)=0,"",VLOOKUP('By Category'!$E103,Data!$D$2:$H$97,'By Category'!G$8,FALSE))</f>
        <v/>
      </c>
      <c r="H103" s="80" t="str">
        <f>IF(COUNTIF(Data!$D$2:$D$97,'By Category'!$E103)=0,"",VLOOKUP('By Category'!$E103,Data!$D$2:$H$97,'By Category'!H$8,FALSE))</f>
        <v/>
      </c>
      <c r="I103" s="80" t="str">
        <f>IF(COUNTIF(Data!$D$2:$D$97,'By Category'!$E103)=0,"",VLOOKUP('By Category'!$E103,Data!$D$2:$H$97,'By Category'!I$8,FALSE))</f>
        <v/>
      </c>
      <c r="J103" s="77" t="str">
        <f ca="1">IF(B103&lt;&gt;B102,B103,IF($D103="","",INDEX('Start List'!$D$15:$D$139,MATCH($D103,'Start List'!$B$15:$B$139,0))))</f>
        <v/>
      </c>
      <c r="K103" s="77" t="str">
        <f ca="1">IF($D103="","",INDEX('Start List'!$E$15:$E$139,MATCH($D103,'Start List'!$B$15:$B$139,0)))</f>
        <v/>
      </c>
      <c r="L103" s="77" t="str">
        <f ca="1">IF($D103="","",INDEX('Start List'!$H$15:$H$139,MATCH($D103,'Start List'!$B$15:$B$139,0)))</f>
        <v/>
      </c>
      <c r="M103" s="79" t="str">
        <f ca="1">IF($D103="","",INDEX('Start List'!$F$15:$F$139,MATCH($D103,'Start List'!$B$15:$B$139,0)))</f>
        <v/>
      </c>
      <c r="N103" s="80" t="str">
        <f ca="1">IF($D103="","",INDEX('Start List'!K$15:K$139,MATCH($D103,'Start List'!$B$15:$B$139,0)))</f>
        <v/>
      </c>
      <c r="O103" s="80" t="str">
        <f ca="1">IF($D103="","",INDEX('Start List'!L$15:L$139,MATCH($D103,'Start List'!$B$15:$B$139,0)))</f>
        <v/>
      </c>
      <c r="P103" s="80" t="str">
        <f ca="1">IF($D103="","",INDEX('Start List'!M$15:M$139,MATCH($D103,'Start List'!$B$15:$B$139,0)))</f>
        <v/>
      </c>
      <c r="Q103" s="80" t="str">
        <f ca="1">IF($D103="","",INDEX('Start List'!N$15:N$139,MATCH($D103,'Start List'!$B$15:$B$139,0)))</f>
        <v/>
      </c>
      <c r="R103" s="80" t="str">
        <f ca="1">IF($D103="","",INDEX('Start List'!O$15:O$139,MATCH($D103,'Start List'!$B$15:$B$139,0)))</f>
        <v/>
      </c>
      <c r="S103" s="80" t="str">
        <f ca="1">IF($D103="","",INDEX('Start List'!P$15:P$139,MATCH($D103,'Start List'!$B$15:$B$139,0)))</f>
        <v/>
      </c>
      <c r="T103" s="80" t="str">
        <f ca="1">IF($D103="","",INDEX('Start List'!Q$15:Q$139,MATCH($D103,'Start List'!$B$15:$B$139,0)))</f>
        <v/>
      </c>
      <c r="U103" s="80" t="str">
        <f ca="1">IF($D103="","",INDEX('Start List'!R$15:R$139,MATCH($D103,'Start List'!$B$15:$B$139,0)))</f>
        <v/>
      </c>
      <c r="V103" s="80" t="str">
        <f ca="1">IF($D103="","",INDEX('Start List'!S$15:S$139,MATCH($D103,'Start List'!$B$15:$B$139,0)))</f>
        <v/>
      </c>
      <c r="W103" s="80" t="str">
        <f ca="1">IF($D103="","",INDEX('Start List'!T$15:T$139,MATCH($D103,'Start List'!$B$15:$B$139,0)))</f>
        <v/>
      </c>
      <c r="X103" s="80" t="str">
        <f ca="1">IF($D103="","",INDEX('Start List'!U$15:U$139,MATCH($D103,'Start List'!$B$15:$B$139,0)))</f>
        <v/>
      </c>
      <c r="Y103" s="80" t="str">
        <f ca="1">IF($D103="","",INDEX('Start List'!V$15:V$139,MATCH($D103,'Start List'!$B$15:$B$139,0)))</f>
        <v/>
      </c>
      <c r="Z103" s="80" t="str">
        <f ca="1">IF($D103="","",INDEX('Start List'!W$15:W$139,MATCH($D103,'Start List'!$B$15:$B$139,0)))</f>
        <v/>
      </c>
      <c r="AA103" s="80" t="str">
        <f ca="1">IF($D103="","",INDEX('Start List'!X$15:X$139,MATCH($D103,'Start List'!$B$15:$B$139,0)))</f>
        <v/>
      </c>
      <c r="AB103" s="80" t="str">
        <f ca="1">IF($D103="","",INDEX('Start List'!Y$15:Y$139,MATCH($D103,'Start List'!$B$15:$B$139,0)))</f>
        <v/>
      </c>
    </row>
    <row r="104" spans="1:28" ht="12.75" x14ac:dyDescent="0.2">
      <c r="A104" s="59" t="str">
        <f>IF(OR(COUNT('Start List'!A:A)+COUNTIF('Start List'!$I$9:$I$14,"&lt;21")='By Category'!A103,A103=""),"",'By Category'!A103+1)</f>
        <v/>
      </c>
      <c r="B104" s="74" t="str">
        <f>IF(A104="","",VLOOKUP(SMALL('Start List'!$I$9:$I$139,A104),'Start List'!$I$9:$J$14,2,FALSE))</f>
        <v/>
      </c>
      <c r="C104" s="75" t="str">
        <f>IF(OR(B104="",COUNTIF($B$9:B104,B104)=1),"",COUNTIF($B$9:B104,B104)-1)</f>
        <v/>
      </c>
      <c r="D104" s="227" t="str">
        <f ca="1">IF(""=C104,"",LARGE(INDIRECT(VLOOKUP(B104,'Start List'!$J$9:$N$14,5,FALSE)),C104))</f>
        <v/>
      </c>
      <c r="E104" s="79" t="str">
        <f>IF(C104="","",VLOOKUP(B104,Data!$AK$2:$AN$7,4,FALSE)&amp;C104)</f>
        <v/>
      </c>
      <c r="F104" s="80" t="str">
        <f>IF(COUNTIF(Data!$D$2:$D$97,'By Category'!$E104)=0,"",VLOOKUP('By Category'!$E104,Data!$D$2:$H$97,'By Category'!F$8,FALSE))</f>
        <v/>
      </c>
      <c r="G104" s="80" t="str">
        <f>IF(COUNTIF(Data!$D$2:$D$97,'By Category'!$E104)=0,"",VLOOKUP('By Category'!$E104,Data!$D$2:$H$97,'By Category'!G$8,FALSE))</f>
        <v/>
      </c>
      <c r="H104" s="80" t="str">
        <f>IF(COUNTIF(Data!$D$2:$D$97,'By Category'!$E104)=0,"",VLOOKUP('By Category'!$E104,Data!$D$2:$H$97,'By Category'!H$8,FALSE))</f>
        <v/>
      </c>
      <c r="I104" s="80" t="str">
        <f>IF(COUNTIF(Data!$D$2:$D$97,'By Category'!$E104)=0,"",VLOOKUP('By Category'!$E104,Data!$D$2:$H$97,'By Category'!I$8,FALSE))</f>
        <v/>
      </c>
      <c r="J104" s="77" t="str">
        <f ca="1">IF(B104&lt;&gt;B103,B104,IF($D104="","",INDEX('Start List'!$D$15:$D$139,MATCH($D104,'Start List'!$B$15:$B$139,0))))</f>
        <v/>
      </c>
      <c r="K104" s="77" t="str">
        <f ca="1">IF($D104="","",INDEX('Start List'!$E$15:$E$139,MATCH($D104,'Start List'!$B$15:$B$139,0)))</f>
        <v/>
      </c>
      <c r="L104" s="77" t="str">
        <f ca="1">IF($D104="","",INDEX('Start List'!$H$15:$H$139,MATCH($D104,'Start List'!$B$15:$B$139,0)))</f>
        <v/>
      </c>
      <c r="M104" s="79" t="str">
        <f ca="1">IF($D104="","",INDEX('Start List'!$F$15:$F$139,MATCH($D104,'Start List'!$B$15:$B$139,0)))</f>
        <v/>
      </c>
      <c r="N104" s="80" t="str">
        <f ca="1">IF($D104="","",INDEX('Start List'!K$15:K$139,MATCH($D104,'Start List'!$B$15:$B$139,0)))</f>
        <v/>
      </c>
      <c r="O104" s="80" t="str">
        <f ca="1">IF($D104="","",INDEX('Start List'!L$15:L$139,MATCH($D104,'Start List'!$B$15:$B$139,0)))</f>
        <v/>
      </c>
      <c r="P104" s="80" t="str">
        <f ca="1">IF($D104="","",INDEX('Start List'!M$15:M$139,MATCH($D104,'Start List'!$B$15:$B$139,0)))</f>
        <v/>
      </c>
      <c r="Q104" s="80" t="str">
        <f ca="1">IF($D104="","",INDEX('Start List'!N$15:N$139,MATCH($D104,'Start List'!$B$15:$B$139,0)))</f>
        <v/>
      </c>
      <c r="R104" s="80" t="str">
        <f ca="1">IF($D104="","",INDEX('Start List'!O$15:O$139,MATCH($D104,'Start List'!$B$15:$B$139,0)))</f>
        <v/>
      </c>
      <c r="S104" s="80" t="str">
        <f ca="1">IF($D104="","",INDEX('Start List'!P$15:P$139,MATCH($D104,'Start List'!$B$15:$B$139,0)))</f>
        <v/>
      </c>
      <c r="T104" s="80" t="str">
        <f ca="1">IF($D104="","",INDEX('Start List'!Q$15:Q$139,MATCH($D104,'Start List'!$B$15:$B$139,0)))</f>
        <v/>
      </c>
      <c r="U104" s="80" t="str">
        <f ca="1">IF($D104="","",INDEX('Start List'!R$15:R$139,MATCH($D104,'Start List'!$B$15:$B$139,0)))</f>
        <v/>
      </c>
      <c r="V104" s="80" t="str">
        <f ca="1">IF($D104="","",INDEX('Start List'!S$15:S$139,MATCH($D104,'Start List'!$B$15:$B$139,0)))</f>
        <v/>
      </c>
      <c r="W104" s="80" t="str">
        <f ca="1">IF($D104="","",INDEX('Start List'!T$15:T$139,MATCH($D104,'Start List'!$B$15:$B$139,0)))</f>
        <v/>
      </c>
      <c r="X104" s="80" t="str">
        <f ca="1">IF($D104="","",INDEX('Start List'!U$15:U$139,MATCH($D104,'Start List'!$B$15:$B$139,0)))</f>
        <v/>
      </c>
      <c r="Y104" s="80" t="str">
        <f ca="1">IF($D104="","",INDEX('Start List'!V$15:V$139,MATCH($D104,'Start List'!$B$15:$B$139,0)))</f>
        <v/>
      </c>
      <c r="Z104" s="80" t="str">
        <f ca="1">IF($D104="","",INDEX('Start List'!W$15:W$139,MATCH($D104,'Start List'!$B$15:$B$139,0)))</f>
        <v/>
      </c>
      <c r="AA104" s="80" t="str">
        <f ca="1">IF($D104="","",INDEX('Start List'!X$15:X$139,MATCH($D104,'Start List'!$B$15:$B$139,0)))</f>
        <v/>
      </c>
      <c r="AB104" s="80" t="str">
        <f ca="1">IF($D104="","",INDEX('Start List'!Y$15:Y$139,MATCH($D104,'Start List'!$B$15:$B$139,0)))</f>
        <v/>
      </c>
    </row>
    <row r="105" spans="1:28" ht="12.75" x14ac:dyDescent="0.2">
      <c r="A105" s="59" t="str">
        <f>IF(OR(COUNT('Start List'!A:A)+COUNTIF('Start List'!$I$9:$I$14,"&lt;21")='By Category'!A104,A104=""),"",'By Category'!A104+1)</f>
        <v/>
      </c>
      <c r="B105" s="74" t="str">
        <f>IF(A105="","",VLOOKUP(SMALL('Start List'!$I$9:$I$139,A105),'Start List'!$I$9:$J$14,2,FALSE))</f>
        <v/>
      </c>
      <c r="C105" s="75" t="str">
        <f>IF(OR(B105="",COUNTIF($B$9:B105,B105)=1),"",COUNTIF($B$9:B105,B105)-1)</f>
        <v/>
      </c>
      <c r="D105" s="227" t="str">
        <f ca="1">IF(""=C105,"",LARGE(INDIRECT(VLOOKUP(B105,'Start List'!$J$9:$N$14,5,FALSE)),C105))</f>
        <v/>
      </c>
      <c r="E105" s="79" t="str">
        <f>IF(C105="","",VLOOKUP(B105,Data!$AK$2:$AN$7,4,FALSE)&amp;C105)</f>
        <v/>
      </c>
      <c r="F105" s="80" t="str">
        <f>IF(COUNTIF(Data!$D$2:$D$97,'By Category'!$E105)=0,"",VLOOKUP('By Category'!$E105,Data!$D$2:$H$97,'By Category'!F$8,FALSE))</f>
        <v/>
      </c>
      <c r="G105" s="80" t="str">
        <f>IF(COUNTIF(Data!$D$2:$D$97,'By Category'!$E105)=0,"",VLOOKUP('By Category'!$E105,Data!$D$2:$H$97,'By Category'!G$8,FALSE))</f>
        <v/>
      </c>
      <c r="H105" s="80" t="str">
        <f>IF(COUNTIF(Data!$D$2:$D$97,'By Category'!$E105)=0,"",VLOOKUP('By Category'!$E105,Data!$D$2:$H$97,'By Category'!H$8,FALSE))</f>
        <v/>
      </c>
      <c r="I105" s="80" t="str">
        <f>IF(COUNTIF(Data!$D$2:$D$97,'By Category'!$E105)=0,"",VLOOKUP('By Category'!$E105,Data!$D$2:$H$97,'By Category'!I$8,FALSE))</f>
        <v/>
      </c>
      <c r="J105" s="77" t="str">
        <f ca="1">IF(B105&lt;&gt;B104,B105,IF($D105="","",INDEX('Start List'!$D$15:$D$139,MATCH($D105,'Start List'!$B$15:$B$139,0))))</f>
        <v/>
      </c>
      <c r="K105" s="77" t="str">
        <f ca="1">IF($D105="","",INDEX('Start List'!$E$15:$E$139,MATCH($D105,'Start List'!$B$15:$B$139,0)))</f>
        <v/>
      </c>
      <c r="L105" s="77" t="str">
        <f ca="1">IF($D105="","",INDEX('Start List'!$H$15:$H$139,MATCH($D105,'Start List'!$B$15:$B$139,0)))</f>
        <v/>
      </c>
      <c r="M105" s="79" t="str">
        <f ca="1">IF($D105="","",INDEX('Start List'!$F$15:$F$139,MATCH($D105,'Start List'!$B$15:$B$139,0)))</f>
        <v/>
      </c>
      <c r="N105" s="80" t="str">
        <f ca="1">IF($D105="","",INDEX('Start List'!K$15:K$139,MATCH($D105,'Start List'!$B$15:$B$139,0)))</f>
        <v/>
      </c>
      <c r="O105" s="80" t="str">
        <f ca="1">IF($D105="","",INDEX('Start List'!L$15:L$139,MATCH($D105,'Start List'!$B$15:$B$139,0)))</f>
        <v/>
      </c>
      <c r="P105" s="80" t="str">
        <f ca="1">IF($D105="","",INDEX('Start List'!M$15:M$139,MATCH($D105,'Start List'!$B$15:$B$139,0)))</f>
        <v/>
      </c>
      <c r="Q105" s="80" t="str">
        <f ca="1">IF($D105="","",INDEX('Start List'!N$15:N$139,MATCH($D105,'Start List'!$B$15:$B$139,0)))</f>
        <v/>
      </c>
      <c r="R105" s="80" t="str">
        <f ca="1">IF($D105="","",INDEX('Start List'!O$15:O$139,MATCH($D105,'Start List'!$B$15:$B$139,0)))</f>
        <v/>
      </c>
      <c r="S105" s="80" t="str">
        <f ca="1">IF($D105="","",INDEX('Start List'!P$15:P$139,MATCH($D105,'Start List'!$B$15:$B$139,0)))</f>
        <v/>
      </c>
      <c r="T105" s="80" t="str">
        <f ca="1">IF($D105="","",INDEX('Start List'!Q$15:Q$139,MATCH($D105,'Start List'!$B$15:$B$139,0)))</f>
        <v/>
      </c>
      <c r="U105" s="80" t="str">
        <f ca="1">IF($D105="","",INDEX('Start List'!R$15:R$139,MATCH($D105,'Start List'!$B$15:$B$139,0)))</f>
        <v/>
      </c>
      <c r="V105" s="80" t="str">
        <f ca="1">IF($D105="","",INDEX('Start List'!S$15:S$139,MATCH($D105,'Start List'!$B$15:$B$139,0)))</f>
        <v/>
      </c>
      <c r="W105" s="80" t="str">
        <f ca="1">IF($D105="","",INDEX('Start List'!T$15:T$139,MATCH($D105,'Start List'!$B$15:$B$139,0)))</f>
        <v/>
      </c>
      <c r="X105" s="80" t="str">
        <f ca="1">IF($D105="","",INDEX('Start List'!U$15:U$139,MATCH($D105,'Start List'!$B$15:$B$139,0)))</f>
        <v/>
      </c>
      <c r="Y105" s="80" t="str">
        <f ca="1">IF($D105="","",INDEX('Start List'!V$15:V$139,MATCH($D105,'Start List'!$B$15:$B$139,0)))</f>
        <v/>
      </c>
      <c r="Z105" s="80" t="str">
        <f ca="1">IF($D105="","",INDEX('Start List'!W$15:W$139,MATCH($D105,'Start List'!$B$15:$B$139,0)))</f>
        <v/>
      </c>
      <c r="AA105" s="80" t="str">
        <f ca="1">IF($D105="","",INDEX('Start List'!X$15:X$139,MATCH($D105,'Start List'!$B$15:$B$139,0)))</f>
        <v/>
      </c>
      <c r="AB105" s="80" t="str">
        <f ca="1">IF($D105="","",INDEX('Start List'!Y$15:Y$139,MATCH($D105,'Start List'!$B$15:$B$139,0)))</f>
        <v/>
      </c>
    </row>
    <row r="106" spans="1:28" ht="12.75" x14ac:dyDescent="0.2">
      <c r="A106" s="59" t="str">
        <f>IF(OR(COUNT('Start List'!A:A)+COUNTIF('Start List'!$I$9:$I$14,"&lt;21")='By Category'!A105,A105=""),"",'By Category'!A105+1)</f>
        <v/>
      </c>
      <c r="B106" s="74" t="str">
        <f>IF(A106="","",VLOOKUP(SMALL('Start List'!$I$9:$I$139,A106),'Start List'!$I$9:$J$14,2,FALSE))</f>
        <v/>
      </c>
      <c r="C106" s="75" t="str">
        <f>IF(OR(B106="",COUNTIF($B$9:B106,B106)=1),"",COUNTIF($B$9:B106,B106)-1)</f>
        <v/>
      </c>
      <c r="D106" s="227" t="str">
        <f ca="1">IF(""=C106,"",LARGE(INDIRECT(VLOOKUP(B106,'Start List'!$J$9:$N$14,5,FALSE)),C106))</f>
        <v/>
      </c>
      <c r="E106" s="79" t="str">
        <f>IF(C106="","",VLOOKUP(B106,Data!$AK$2:$AN$7,4,FALSE)&amp;C106)</f>
        <v/>
      </c>
      <c r="F106" s="80" t="str">
        <f>IF(COUNTIF(Data!$D$2:$D$97,'By Category'!$E106)=0,"",VLOOKUP('By Category'!$E106,Data!$D$2:$H$97,'By Category'!F$8,FALSE))</f>
        <v/>
      </c>
      <c r="G106" s="80" t="str">
        <f>IF(COUNTIF(Data!$D$2:$D$97,'By Category'!$E106)=0,"",VLOOKUP('By Category'!$E106,Data!$D$2:$H$97,'By Category'!G$8,FALSE))</f>
        <v/>
      </c>
      <c r="H106" s="80" t="str">
        <f>IF(COUNTIF(Data!$D$2:$D$97,'By Category'!$E106)=0,"",VLOOKUP('By Category'!$E106,Data!$D$2:$H$97,'By Category'!H$8,FALSE))</f>
        <v/>
      </c>
      <c r="I106" s="80" t="str">
        <f>IF(COUNTIF(Data!$D$2:$D$97,'By Category'!$E106)=0,"",VLOOKUP('By Category'!$E106,Data!$D$2:$H$97,'By Category'!I$8,FALSE))</f>
        <v/>
      </c>
      <c r="J106" s="77" t="str">
        <f ca="1">IF(B106&lt;&gt;B105,B106,IF($D106="","",INDEX('Start List'!$D$15:$D$139,MATCH($D106,'Start List'!$B$15:$B$139,0))))</f>
        <v/>
      </c>
      <c r="K106" s="77" t="str">
        <f ca="1">IF($D106="","",INDEX('Start List'!$E$15:$E$139,MATCH($D106,'Start List'!$B$15:$B$139,0)))</f>
        <v/>
      </c>
      <c r="L106" s="77" t="str">
        <f ca="1">IF($D106="","",INDEX('Start List'!$H$15:$H$139,MATCH($D106,'Start List'!$B$15:$B$139,0)))</f>
        <v/>
      </c>
      <c r="M106" s="79" t="str">
        <f ca="1">IF($D106="","",INDEX('Start List'!$F$15:$F$139,MATCH($D106,'Start List'!$B$15:$B$139,0)))</f>
        <v/>
      </c>
      <c r="N106" s="80" t="str">
        <f ca="1">IF($D106="","",INDEX('Start List'!K$15:K$139,MATCH($D106,'Start List'!$B$15:$B$139,0)))</f>
        <v/>
      </c>
      <c r="O106" s="80" t="str">
        <f ca="1">IF($D106="","",INDEX('Start List'!L$15:L$139,MATCH($D106,'Start List'!$B$15:$B$139,0)))</f>
        <v/>
      </c>
      <c r="P106" s="80" t="str">
        <f ca="1">IF($D106="","",INDEX('Start List'!M$15:M$139,MATCH($D106,'Start List'!$B$15:$B$139,0)))</f>
        <v/>
      </c>
      <c r="Q106" s="80" t="str">
        <f ca="1">IF($D106="","",INDEX('Start List'!N$15:N$139,MATCH($D106,'Start List'!$B$15:$B$139,0)))</f>
        <v/>
      </c>
      <c r="R106" s="80" t="str">
        <f ca="1">IF($D106="","",INDEX('Start List'!O$15:O$139,MATCH($D106,'Start List'!$B$15:$B$139,0)))</f>
        <v/>
      </c>
      <c r="S106" s="80" t="str">
        <f ca="1">IF($D106="","",INDEX('Start List'!P$15:P$139,MATCH($D106,'Start List'!$B$15:$B$139,0)))</f>
        <v/>
      </c>
      <c r="T106" s="80" t="str">
        <f ca="1">IF($D106="","",INDEX('Start List'!Q$15:Q$139,MATCH($D106,'Start List'!$B$15:$B$139,0)))</f>
        <v/>
      </c>
      <c r="U106" s="80" t="str">
        <f ca="1">IF($D106="","",INDEX('Start List'!R$15:R$139,MATCH($D106,'Start List'!$B$15:$B$139,0)))</f>
        <v/>
      </c>
      <c r="V106" s="80" t="str">
        <f ca="1">IF($D106="","",INDEX('Start List'!S$15:S$139,MATCH($D106,'Start List'!$B$15:$B$139,0)))</f>
        <v/>
      </c>
      <c r="W106" s="80" t="str">
        <f ca="1">IF($D106="","",INDEX('Start List'!T$15:T$139,MATCH($D106,'Start List'!$B$15:$B$139,0)))</f>
        <v/>
      </c>
      <c r="X106" s="80" t="str">
        <f ca="1">IF($D106="","",INDEX('Start List'!U$15:U$139,MATCH($D106,'Start List'!$B$15:$B$139,0)))</f>
        <v/>
      </c>
      <c r="Y106" s="80" t="str">
        <f ca="1">IF($D106="","",INDEX('Start List'!V$15:V$139,MATCH($D106,'Start List'!$B$15:$B$139,0)))</f>
        <v/>
      </c>
      <c r="Z106" s="80" t="str">
        <f ca="1">IF($D106="","",INDEX('Start List'!W$15:W$139,MATCH($D106,'Start List'!$B$15:$B$139,0)))</f>
        <v/>
      </c>
      <c r="AA106" s="80" t="str">
        <f ca="1">IF($D106="","",INDEX('Start List'!X$15:X$139,MATCH($D106,'Start List'!$B$15:$B$139,0)))</f>
        <v/>
      </c>
      <c r="AB106" s="80" t="str">
        <f ca="1">IF($D106="","",INDEX('Start List'!Y$15:Y$139,MATCH($D106,'Start List'!$B$15:$B$139,0)))</f>
        <v/>
      </c>
    </row>
    <row r="107" spans="1:28" ht="12.75" x14ac:dyDescent="0.2">
      <c r="A107" s="59" t="str">
        <f>IF(OR(COUNT('Start List'!A:A)+COUNTIF('Start List'!$I$9:$I$14,"&lt;21")='By Category'!A106,A106=""),"",'By Category'!A106+1)</f>
        <v/>
      </c>
      <c r="B107" s="74" t="str">
        <f>IF(A107="","",VLOOKUP(SMALL('Start List'!$I$9:$I$139,A107),'Start List'!$I$9:$J$14,2,FALSE))</f>
        <v/>
      </c>
      <c r="C107" s="75" t="str">
        <f>IF(OR(B107="",COUNTIF($B$9:B107,B107)=1),"",COUNTIF($B$9:B107,B107)-1)</f>
        <v/>
      </c>
      <c r="D107" s="227" t="str">
        <f ca="1">IF(""=C107,"",LARGE(INDIRECT(VLOOKUP(B107,'Start List'!$J$9:$N$14,5,FALSE)),C107))</f>
        <v/>
      </c>
      <c r="E107" s="79" t="str">
        <f>IF(C107="","",VLOOKUP(B107,Data!$AK$2:$AN$7,4,FALSE)&amp;C107)</f>
        <v/>
      </c>
      <c r="F107" s="80" t="str">
        <f>IF(COUNTIF(Data!$D$2:$D$97,'By Category'!$E107)=0,"",VLOOKUP('By Category'!$E107,Data!$D$2:$H$97,'By Category'!F$8,FALSE))</f>
        <v/>
      </c>
      <c r="G107" s="80" t="str">
        <f>IF(COUNTIF(Data!$D$2:$D$97,'By Category'!$E107)=0,"",VLOOKUP('By Category'!$E107,Data!$D$2:$H$97,'By Category'!G$8,FALSE))</f>
        <v/>
      </c>
      <c r="H107" s="80" t="str">
        <f>IF(COUNTIF(Data!$D$2:$D$97,'By Category'!$E107)=0,"",VLOOKUP('By Category'!$E107,Data!$D$2:$H$97,'By Category'!H$8,FALSE))</f>
        <v/>
      </c>
      <c r="I107" s="80" t="str">
        <f>IF(COUNTIF(Data!$D$2:$D$97,'By Category'!$E107)=0,"",VLOOKUP('By Category'!$E107,Data!$D$2:$H$97,'By Category'!I$8,FALSE))</f>
        <v/>
      </c>
      <c r="J107" s="77" t="str">
        <f ca="1">IF(B107&lt;&gt;B106,B107,IF($D107="","",INDEX('Start List'!$D$15:$D$139,MATCH($D107,'Start List'!$B$15:$B$139,0))))</f>
        <v/>
      </c>
      <c r="K107" s="77" t="str">
        <f ca="1">IF($D107="","",INDEX('Start List'!$E$15:$E$139,MATCH($D107,'Start List'!$B$15:$B$139,0)))</f>
        <v/>
      </c>
      <c r="L107" s="77" t="str">
        <f ca="1">IF($D107="","",INDEX('Start List'!$H$15:$H$139,MATCH($D107,'Start List'!$B$15:$B$139,0)))</f>
        <v/>
      </c>
      <c r="M107" s="79" t="str">
        <f ca="1">IF($D107="","",INDEX('Start List'!$F$15:$F$139,MATCH($D107,'Start List'!$B$15:$B$139,0)))</f>
        <v/>
      </c>
      <c r="N107" s="80" t="str">
        <f ca="1">IF($D107="","",INDEX('Start List'!K$15:K$139,MATCH($D107,'Start List'!$B$15:$B$139,0)))</f>
        <v/>
      </c>
      <c r="O107" s="80" t="str">
        <f ca="1">IF($D107="","",INDEX('Start List'!L$15:L$139,MATCH($D107,'Start List'!$B$15:$B$139,0)))</f>
        <v/>
      </c>
      <c r="P107" s="80" t="str">
        <f ca="1">IF($D107="","",INDEX('Start List'!M$15:M$139,MATCH($D107,'Start List'!$B$15:$B$139,0)))</f>
        <v/>
      </c>
      <c r="Q107" s="80" t="str">
        <f ca="1">IF($D107="","",INDEX('Start List'!N$15:N$139,MATCH($D107,'Start List'!$B$15:$B$139,0)))</f>
        <v/>
      </c>
      <c r="R107" s="80" t="str">
        <f ca="1">IF($D107="","",INDEX('Start List'!O$15:O$139,MATCH($D107,'Start List'!$B$15:$B$139,0)))</f>
        <v/>
      </c>
      <c r="S107" s="80" t="str">
        <f ca="1">IF($D107="","",INDEX('Start List'!P$15:P$139,MATCH($D107,'Start List'!$B$15:$B$139,0)))</f>
        <v/>
      </c>
      <c r="T107" s="80" t="str">
        <f ca="1">IF($D107="","",INDEX('Start List'!Q$15:Q$139,MATCH($D107,'Start List'!$B$15:$B$139,0)))</f>
        <v/>
      </c>
      <c r="U107" s="80" t="str">
        <f ca="1">IF($D107="","",INDEX('Start List'!R$15:R$139,MATCH($D107,'Start List'!$B$15:$B$139,0)))</f>
        <v/>
      </c>
      <c r="V107" s="80" t="str">
        <f ca="1">IF($D107="","",INDEX('Start List'!S$15:S$139,MATCH($D107,'Start List'!$B$15:$B$139,0)))</f>
        <v/>
      </c>
      <c r="W107" s="80" t="str">
        <f ca="1">IF($D107="","",INDEX('Start List'!T$15:T$139,MATCH($D107,'Start List'!$B$15:$B$139,0)))</f>
        <v/>
      </c>
      <c r="X107" s="80" t="str">
        <f ca="1">IF($D107="","",INDEX('Start List'!U$15:U$139,MATCH($D107,'Start List'!$B$15:$B$139,0)))</f>
        <v/>
      </c>
      <c r="Y107" s="80" t="str">
        <f ca="1">IF($D107="","",INDEX('Start List'!V$15:V$139,MATCH($D107,'Start List'!$B$15:$B$139,0)))</f>
        <v/>
      </c>
      <c r="Z107" s="80" t="str">
        <f ca="1">IF($D107="","",INDEX('Start List'!W$15:W$139,MATCH($D107,'Start List'!$B$15:$B$139,0)))</f>
        <v/>
      </c>
      <c r="AA107" s="80" t="str">
        <f ca="1">IF($D107="","",INDEX('Start List'!X$15:X$139,MATCH($D107,'Start List'!$B$15:$B$139,0)))</f>
        <v/>
      </c>
      <c r="AB107" s="80" t="str">
        <f ca="1">IF($D107="","",INDEX('Start List'!Y$15:Y$139,MATCH($D107,'Start List'!$B$15:$B$139,0)))</f>
        <v/>
      </c>
    </row>
    <row r="108" spans="1:28" ht="12.75" x14ac:dyDescent="0.2">
      <c r="A108" s="59" t="str">
        <f>IF(OR(COUNT('Start List'!A:A)+COUNTIF('Start List'!$I$9:$I$14,"&lt;21")='By Category'!A107,A107=""),"",'By Category'!A107+1)</f>
        <v/>
      </c>
      <c r="B108" s="74" t="str">
        <f>IF(A108="","",VLOOKUP(SMALL('Start List'!$I$9:$I$139,A108),'Start List'!$I$9:$J$14,2,FALSE))</f>
        <v/>
      </c>
      <c r="C108" s="75" t="str">
        <f>IF(OR(B108="",COUNTIF($B$9:B108,B108)=1),"",COUNTIF($B$9:B108,B108)-1)</f>
        <v/>
      </c>
      <c r="D108" s="227" t="str">
        <f ca="1">IF(""=C108,"",LARGE(INDIRECT(VLOOKUP(B108,'Start List'!$J$9:$N$14,5,FALSE)),C108))</f>
        <v/>
      </c>
      <c r="E108" s="79" t="str">
        <f>IF(C108="","",VLOOKUP(B108,Data!$AK$2:$AN$7,4,FALSE)&amp;C108)</f>
        <v/>
      </c>
      <c r="F108" s="80" t="str">
        <f>IF(COUNTIF(Data!$D$2:$D$97,'By Category'!$E108)=0,"",VLOOKUP('By Category'!$E108,Data!$D$2:$H$97,'By Category'!F$8,FALSE))</f>
        <v/>
      </c>
      <c r="G108" s="80" t="str">
        <f>IF(COUNTIF(Data!$D$2:$D$97,'By Category'!$E108)=0,"",VLOOKUP('By Category'!$E108,Data!$D$2:$H$97,'By Category'!G$8,FALSE))</f>
        <v/>
      </c>
      <c r="H108" s="80" t="str">
        <f>IF(COUNTIF(Data!$D$2:$D$97,'By Category'!$E108)=0,"",VLOOKUP('By Category'!$E108,Data!$D$2:$H$97,'By Category'!H$8,FALSE))</f>
        <v/>
      </c>
      <c r="I108" s="80" t="str">
        <f>IF(COUNTIF(Data!$D$2:$D$97,'By Category'!$E108)=0,"",VLOOKUP('By Category'!$E108,Data!$D$2:$H$97,'By Category'!I$8,FALSE))</f>
        <v/>
      </c>
      <c r="J108" s="77" t="str">
        <f ca="1">IF(B108&lt;&gt;B107,B108,IF($D108="","",INDEX('Start List'!$D$15:$D$139,MATCH($D108,'Start List'!$B$15:$B$139,0))))</f>
        <v/>
      </c>
      <c r="K108" s="77" t="str">
        <f ca="1">IF($D108="","",INDEX('Start List'!$E$15:$E$139,MATCH($D108,'Start List'!$B$15:$B$139,0)))</f>
        <v/>
      </c>
      <c r="L108" s="77" t="str">
        <f ca="1">IF($D108="","",INDEX('Start List'!$H$15:$H$139,MATCH($D108,'Start List'!$B$15:$B$139,0)))</f>
        <v/>
      </c>
      <c r="M108" s="79" t="str">
        <f ca="1">IF($D108="","",INDEX('Start List'!$F$15:$F$139,MATCH($D108,'Start List'!$B$15:$B$139,0)))</f>
        <v/>
      </c>
      <c r="N108" s="80" t="str">
        <f ca="1">IF($D108="","",INDEX('Start List'!K$15:K$139,MATCH($D108,'Start List'!$B$15:$B$139,0)))</f>
        <v/>
      </c>
      <c r="O108" s="80" t="str">
        <f ca="1">IF($D108="","",INDEX('Start List'!L$15:L$139,MATCH($D108,'Start List'!$B$15:$B$139,0)))</f>
        <v/>
      </c>
      <c r="P108" s="80" t="str">
        <f ca="1">IF($D108="","",INDEX('Start List'!M$15:M$139,MATCH($D108,'Start List'!$B$15:$B$139,0)))</f>
        <v/>
      </c>
      <c r="Q108" s="80" t="str">
        <f ca="1">IF($D108="","",INDEX('Start List'!N$15:N$139,MATCH($D108,'Start List'!$B$15:$B$139,0)))</f>
        <v/>
      </c>
      <c r="R108" s="80" t="str">
        <f ca="1">IF($D108="","",INDEX('Start List'!O$15:O$139,MATCH($D108,'Start List'!$B$15:$B$139,0)))</f>
        <v/>
      </c>
      <c r="S108" s="80" t="str">
        <f ca="1">IF($D108="","",INDEX('Start List'!P$15:P$139,MATCH($D108,'Start List'!$B$15:$B$139,0)))</f>
        <v/>
      </c>
      <c r="T108" s="80" t="str">
        <f ca="1">IF($D108="","",INDEX('Start List'!Q$15:Q$139,MATCH($D108,'Start List'!$B$15:$B$139,0)))</f>
        <v/>
      </c>
      <c r="U108" s="80" t="str">
        <f ca="1">IF($D108="","",INDEX('Start List'!R$15:R$139,MATCH($D108,'Start List'!$B$15:$B$139,0)))</f>
        <v/>
      </c>
      <c r="V108" s="80" t="str">
        <f ca="1">IF($D108="","",INDEX('Start List'!S$15:S$139,MATCH($D108,'Start List'!$B$15:$B$139,0)))</f>
        <v/>
      </c>
      <c r="W108" s="80" t="str">
        <f ca="1">IF($D108="","",INDEX('Start List'!T$15:T$139,MATCH($D108,'Start List'!$B$15:$B$139,0)))</f>
        <v/>
      </c>
      <c r="X108" s="80" t="str">
        <f ca="1">IF($D108="","",INDEX('Start List'!U$15:U$139,MATCH($D108,'Start List'!$B$15:$B$139,0)))</f>
        <v/>
      </c>
      <c r="Y108" s="80" t="str">
        <f ca="1">IF($D108="","",INDEX('Start List'!V$15:V$139,MATCH($D108,'Start List'!$B$15:$B$139,0)))</f>
        <v/>
      </c>
      <c r="Z108" s="80" t="str">
        <f ca="1">IF($D108="","",INDEX('Start List'!W$15:W$139,MATCH($D108,'Start List'!$B$15:$B$139,0)))</f>
        <v/>
      </c>
      <c r="AA108" s="80" t="str">
        <f ca="1">IF($D108="","",INDEX('Start List'!X$15:X$139,MATCH($D108,'Start List'!$B$15:$B$139,0)))</f>
        <v/>
      </c>
      <c r="AB108" s="80" t="str">
        <f ca="1">IF($D108="","",INDEX('Start List'!Y$15:Y$139,MATCH($D108,'Start List'!$B$15:$B$139,0)))</f>
        <v/>
      </c>
    </row>
    <row r="109" spans="1:28" ht="12.75" x14ac:dyDescent="0.2">
      <c r="A109" s="59" t="str">
        <f>IF(OR(COUNT('Start List'!A:A)+COUNTIF('Start List'!$I$9:$I$14,"&lt;21")='By Category'!A108,A108=""),"",'By Category'!A108+1)</f>
        <v/>
      </c>
      <c r="B109" s="74" t="str">
        <f>IF(A109="","",VLOOKUP(SMALL('Start List'!$I$9:$I$139,A109),'Start List'!$I$9:$J$14,2,FALSE))</f>
        <v/>
      </c>
      <c r="C109" s="75" t="str">
        <f>IF(OR(B109="",COUNTIF($B$9:B109,B109)=1),"",COUNTIF($B$9:B109,B109)-1)</f>
        <v/>
      </c>
      <c r="D109" s="227" t="str">
        <f ca="1">IF(""=C109,"",LARGE(INDIRECT(VLOOKUP(B109,'Start List'!$J$9:$N$14,5,FALSE)),C109))</f>
        <v/>
      </c>
      <c r="E109" s="79" t="str">
        <f>IF(C109="","",VLOOKUP(B109,Data!$AK$2:$AN$7,4,FALSE)&amp;C109)</f>
        <v/>
      </c>
      <c r="F109" s="80" t="str">
        <f>IF(COUNTIF(Data!$D$2:$D$97,'By Category'!$E109)=0,"",VLOOKUP('By Category'!$E109,Data!$D$2:$H$97,'By Category'!F$8,FALSE))</f>
        <v/>
      </c>
      <c r="G109" s="80" t="str">
        <f>IF(COUNTIF(Data!$D$2:$D$97,'By Category'!$E109)=0,"",VLOOKUP('By Category'!$E109,Data!$D$2:$H$97,'By Category'!G$8,FALSE))</f>
        <v/>
      </c>
      <c r="H109" s="80" t="str">
        <f>IF(COUNTIF(Data!$D$2:$D$97,'By Category'!$E109)=0,"",VLOOKUP('By Category'!$E109,Data!$D$2:$H$97,'By Category'!H$8,FALSE))</f>
        <v/>
      </c>
      <c r="I109" s="80" t="str">
        <f>IF(COUNTIF(Data!$D$2:$D$97,'By Category'!$E109)=0,"",VLOOKUP('By Category'!$E109,Data!$D$2:$H$97,'By Category'!I$8,FALSE))</f>
        <v/>
      </c>
      <c r="J109" s="77" t="str">
        <f ca="1">IF(B109&lt;&gt;B108,B109,IF($D109="","",INDEX('Start List'!$D$15:$D$139,MATCH($D109,'Start List'!$B$15:$B$139,0))))</f>
        <v/>
      </c>
      <c r="K109" s="77" t="str">
        <f ca="1">IF($D109="","",INDEX('Start List'!$E$15:$E$139,MATCH($D109,'Start List'!$B$15:$B$139,0)))</f>
        <v/>
      </c>
      <c r="L109" s="77" t="str">
        <f ca="1">IF($D109="","",INDEX('Start List'!$H$15:$H$139,MATCH($D109,'Start List'!$B$15:$B$139,0)))</f>
        <v/>
      </c>
      <c r="M109" s="79" t="str">
        <f ca="1">IF($D109="","",INDEX('Start List'!$F$15:$F$139,MATCH($D109,'Start List'!$B$15:$B$139,0)))</f>
        <v/>
      </c>
      <c r="N109" s="80" t="str">
        <f ca="1">IF($D109="","",INDEX('Start List'!K$15:K$139,MATCH($D109,'Start List'!$B$15:$B$139,0)))</f>
        <v/>
      </c>
      <c r="O109" s="80" t="str">
        <f ca="1">IF($D109="","",INDEX('Start List'!L$15:L$139,MATCH($D109,'Start List'!$B$15:$B$139,0)))</f>
        <v/>
      </c>
      <c r="P109" s="80" t="str">
        <f ca="1">IF($D109="","",INDEX('Start List'!M$15:M$139,MATCH($D109,'Start List'!$B$15:$B$139,0)))</f>
        <v/>
      </c>
      <c r="Q109" s="80" t="str">
        <f ca="1">IF($D109="","",INDEX('Start List'!N$15:N$139,MATCH($D109,'Start List'!$B$15:$B$139,0)))</f>
        <v/>
      </c>
      <c r="R109" s="80" t="str">
        <f ca="1">IF($D109="","",INDEX('Start List'!O$15:O$139,MATCH($D109,'Start List'!$B$15:$B$139,0)))</f>
        <v/>
      </c>
      <c r="S109" s="80" t="str">
        <f ca="1">IF($D109="","",INDEX('Start List'!P$15:P$139,MATCH($D109,'Start List'!$B$15:$B$139,0)))</f>
        <v/>
      </c>
      <c r="T109" s="80" t="str">
        <f ca="1">IF($D109="","",INDEX('Start List'!Q$15:Q$139,MATCH($D109,'Start List'!$B$15:$B$139,0)))</f>
        <v/>
      </c>
      <c r="U109" s="80" t="str">
        <f ca="1">IF($D109="","",INDEX('Start List'!R$15:R$139,MATCH($D109,'Start List'!$B$15:$B$139,0)))</f>
        <v/>
      </c>
      <c r="V109" s="80" t="str">
        <f ca="1">IF($D109="","",INDEX('Start List'!S$15:S$139,MATCH($D109,'Start List'!$B$15:$B$139,0)))</f>
        <v/>
      </c>
      <c r="W109" s="80" t="str">
        <f ca="1">IF($D109="","",INDEX('Start List'!T$15:T$139,MATCH($D109,'Start List'!$B$15:$B$139,0)))</f>
        <v/>
      </c>
      <c r="X109" s="80" t="str">
        <f ca="1">IF($D109="","",INDEX('Start List'!U$15:U$139,MATCH($D109,'Start List'!$B$15:$B$139,0)))</f>
        <v/>
      </c>
      <c r="Y109" s="80" t="str">
        <f ca="1">IF($D109="","",INDEX('Start List'!V$15:V$139,MATCH($D109,'Start List'!$B$15:$B$139,0)))</f>
        <v/>
      </c>
      <c r="Z109" s="80" t="str">
        <f ca="1">IF($D109="","",INDEX('Start List'!W$15:W$139,MATCH($D109,'Start List'!$B$15:$B$139,0)))</f>
        <v/>
      </c>
      <c r="AA109" s="80" t="str">
        <f ca="1">IF($D109="","",INDEX('Start List'!X$15:X$139,MATCH($D109,'Start List'!$B$15:$B$139,0)))</f>
        <v/>
      </c>
      <c r="AB109" s="80" t="str">
        <f ca="1">IF($D109="","",INDEX('Start List'!Y$15:Y$139,MATCH($D109,'Start List'!$B$15:$B$139,0)))</f>
        <v/>
      </c>
    </row>
    <row r="110" spans="1:28" ht="12.75" x14ac:dyDescent="0.2">
      <c r="A110" s="59" t="str">
        <f>IF(OR(COUNT('Start List'!A:A)+COUNTIF('Start List'!$I$9:$I$14,"&lt;21")='By Category'!A109,A109=""),"",'By Category'!A109+1)</f>
        <v/>
      </c>
      <c r="B110" s="74" t="str">
        <f>IF(A110="","",VLOOKUP(SMALL('Start List'!$I$9:$I$139,A110),'Start List'!$I$9:$J$14,2,FALSE))</f>
        <v/>
      </c>
      <c r="C110" s="75" t="str">
        <f>IF(OR(B110="",COUNTIF($B$9:B110,B110)=1),"",COUNTIF($B$9:B110,B110)-1)</f>
        <v/>
      </c>
      <c r="D110" s="227" t="str">
        <f ca="1">IF(""=C110,"",LARGE(INDIRECT(VLOOKUP(B110,'Start List'!$J$9:$N$14,5,FALSE)),C110))</f>
        <v/>
      </c>
      <c r="E110" s="79" t="str">
        <f>IF(C110="","",VLOOKUP(B110,Data!$AK$2:$AN$7,4,FALSE)&amp;C110)</f>
        <v/>
      </c>
      <c r="F110" s="80" t="str">
        <f>IF(COUNTIF(Data!$D$2:$D$97,'By Category'!$E110)=0,"",VLOOKUP('By Category'!$E110,Data!$D$2:$H$97,'By Category'!F$8,FALSE))</f>
        <v/>
      </c>
      <c r="G110" s="80" t="str">
        <f>IF(COUNTIF(Data!$D$2:$D$97,'By Category'!$E110)=0,"",VLOOKUP('By Category'!$E110,Data!$D$2:$H$97,'By Category'!G$8,FALSE))</f>
        <v/>
      </c>
      <c r="H110" s="80" t="str">
        <f>IF(COUNTIF(Data!$D$2:$D$97,'By Category'!$E110)=0,"",VLOOKUP('By Category'!$E110,Data!$D$2:$H$97,'By Category'!H$8,FALSE))</f>
        <v/>
      </c>
      <c r="I110" s="80" t="str">
        <f>IF(COUNTIF(Data!$D$2:$D$97,'By Category'!$E110)=0,"",VLOOKUP('By Category'!$E110,Data!$D$2:$H$97,'By Category'!I$8,FALSE))</f>
        <v/>
      </c>
      <c r="J110" s="77" t="str">
        <f ca="1">IF(B110&lt;&gt;B109,B110,IF($D110="","",INDEX('Start List'!$D$15:$D$139,MATCH($D110,'Start List'!$B$15:$B$139,0))))</f>
        <v/>
      </c>
      <c r="K110" s="77" t="str">
        <f ca="1">IF($D110="","",INDEX('Start List'!$E$15:$E$139,MATCH($D110,'Start List'!$B$15:$B$139,0)))</f>
        <v/>
      </c>
      <c r="L110" s="77" t="str">
        <f ca="1">IF($D110="","",INDEX('Start List'!$H$15:$H$139,MATCH($D110,'Start List'!$B$15:$B$139,0)))</f>
        <v/>
      </c>
      <c r="M110" s="79" t="str">
        <f ca="1">IF($D110="","",INDEX('Start List'!$F$15:$F$139,MATCH($D110,'Start List'!$B$15:$B$139,0)))</f>
        <v/>
      </c>
      <c r="N110" s="80" t="str">
        <f ca="1">IF($D110="","",INDEX('Start List'!K$15:K$139,MATCH($D110,'Start List'!$B$15:$B$139,0)))</f>
        <v/>
      </c>
      <c r="O110" s="80" t="str">
        <f ca="1">IF($D110="","",INDEX('Start List'!L$15:L$139,MATCH($D110,'Start List'!$B$15:$B$139,0)))</f>
        <v/>
      </c>
      <c r="P110" s="80" t="str">
        <f ca="1">IF($D110="","",INDEX('Start List'!M$15:M$139,MATCH($D110,'Start List'!$B$15:$B$139,0)))</f>
        <v/>
      </c>
      <c r="Q110" s="80" t="str">
        <f ca="1">IF($D110="","",INDEX('Start List'!N$15:N$139,MATCH($D110,'Start List'!$B$15:$B$139,0)))</f>
        <v/>
      </c>
      <c r="R110" s="80" t="str">
        <f ca="1">IF($D110="","",INDEX('Start List'!O$15:O$139,MATCH($D110,'Start List'!$B$15:$B$139,0)))</f>
        <v/>
      </c>
      <c r="S110" s="80" t="str">
        <f ca="1">IF($D110="","",INDEX('Start List'!P$15:P$139,MATCH($D110,'Start List'!$B$15:$B$139,0)))</f>
        <v/>
      </c>
      <c r="T110" s="80" t="str">
        <f ca="1">IF($D110="","",INDEX('Start List'!Q$15:Q$139,MATCH($D110,'Start List'!$B$15:$B$139,0)))</f>
        <v/>
      </c>
      <c r="U110" s="80" t="str">
        <f ca="1">IF($D110="","",INDEX('Start List'!R$15:R$139,MATCH($D110,'Start List'!$B$15:$B$139,0)))</f>
        <v/>
      </c>
      <c r="V110" s="80" t="str">
        <f ca="1">IF($D110="","",INDEX('Start List'!S$15:S$139,MATCH($D110,'Start List'!$B$15:$B$139,0)))</f>
        <v/>
      </c>
      <c r="W110" s="80" t="str">
        <f ca="1">IF($D110="","",INDEX('Start List'!T$15:T$139,MATCH($D110,'Start List'!$B$15:$B$139,0)))</f>
        <v/>
      </c>
      <c r="X110" s="80" t="str">
        <f ca="1">IF($D110="","",INDEX('Start List'!U$15:U$139,MATCH($D110,'Start List'!$B$15:$B$139,0)))</f>
        <v/>
      </c>
      <c r="Y110" s="80" t="str">
        <f ca="1">IF($D110="","",INDEX('Start List'!V$15:V$139,MATCH($D110,'Start List'!$B$15:$B$139,0)))</f>
        <v/>
      </c>
      <c r="Z110" s="80" t="str">
        <f ca="1">IF($D110="","",INDEX('Start List'!W$15:W$139,MATCH($D110,'Start List'!$B$15:$B$139,0)))</f>
        <v/>
      </c>
      <c r="AA110" s="80" t="str">
        <f ca="1">IF($D110="","",INDEX('Start List'!X$15:X$139,MATCH($D110,'Start List'!$B$15:$B$139,0)))</f>
        <v/>
      </c>
      <c r="AB110" s="80" t="str">
        <f ca="1">IF($D110="","",INDEX('Start List'!Y$15:Y$139,MATCH($D110,'Start List'!$B$15:$B$139,0)))</f>
        <v/>
      </c>
    </row>
    <row r="111" spans="1:28" ht="12.75" x14ac:dyDescent="0.2">
      <c r="A111" s="59" t="str">
        <f>IF(OR(COUNT('Start List'!A:A)+COUNTIF('Start List'!$I$9:$I$14,"&lt;21")='By Category'!A110,A110=""),"",'By Category'!A110+1)</f>
        <v/>
      </c>
      <c r="B111" s="74" t="str">
        <f>IF(A111="","",VLOOKUP(SMALL('Start List'!$I$9:$I$139,A111),'Start List'!$I$9:$J$14,2,FALSE))</f>
        <v/>
      </c>
      <c r="C111" s="75" t="str">
        <f>IF(OR(B111="",COUNTIF($B$9:B111,B111)=1),"",COUNTIF($B$9:B111,B111)-1)</f>
        <v/>
      </c>
      <c r="D111" s="227" t="str">
        <f ca="1">IF(""=C111,"",LARGE(INDIRECT(VLOOKUP(B111,'Start List'!$J$9:$N$14,5,FALSE)),C111))</f>
        <v/>
      </c>
      <c r="E111" s="79" t="str">
        <f>IF(C111="","",VLOOKUP(B111,Data!$AK$2:$AN$7,4,FALSE)&amp;C111)</f>
        <v/>
      </c>
      <c r="F111" s="80" t="str">
        <f>IF(COUNTIF(Data!$D$2:$D$97,'By Category'!$E111)=0,"",VLOOKUP('By Category'!$E111,Data!$D$2:$H$97,'By Category'!F$8,FALSE))</f>
        <v/>
      </c>
      <c r="G111" s="80" t="str">
        <f>IF(COUNTIF(Data!$D$2:$D$97,'By Category'!$E111)=0,"",VLOOKUP('By Category'!$E111,Data!$D$2:$H$97,'By Category'!G$8,FALSE))</f>
        <v/>
      </c>
      <c r="H111" s="80" t="str">
        <f>IF(COUNTIF(Data!$D$2:$D$97,'By Category'!$E111)=0,"",VLOOKUP('By Category'!$E111,Data!$D$2:$H$97,'By Category'!H$8,FALSE))</f>
        <v/>
      </c>
      <c r="I111" s="80" t="str">
        <f>IF(COUNTIF(Data!$D$2:$D$97,'By Category'!$E111)=0,"",VLOOKUP('By Category'!$E111,Data!$D$2:$H$97,'By Category'!I$8,FALSE))</f>
        <v/>
      </c>
      <c r="J111" s="77" t="str">
        <f ca="1">IF(B111&lt;&gt;B110,B111,IF($D111="","",INDEX('Start List'!$D$15:$D$139,MATCH($D111,'Start List'!$B$15:$B$139,0))))</f>
        <v/>
      </c>
      <c r="K111" s="77" t="str">
        <f ca="1">IF($D111="","",INDEX('Start List'!$E$15:$E$139,MATCH($D111,'Start List'!$B$15:$B$139,0)))</f>
        <v/>
      </c>
      <c r="L111" s="77" t="str">
        <f ca="1">IF($D111="","",INDEX('Start List'!$H$15:$H$139,MATCH($D111,'Start List'!$B$15:$B$139,0)))</f>
        <v/>
      </c>
      <c r="M111" s="79" t="str">
        <f ca="1">IF($D111="","",INDEX('Start List'!$F$15:$F$139,MATCH($D111,'Start List'!$B$15:$B$139,0)))</f>
        <v/>
      </c>
      <c r="N111" s="80" t="str">
        <f ca="1">IF($D111="","",INDEX('Start List'!K$15:K$139,MATCH($D111,'Start List'!$B$15:$B$139,0)))</f>
        <v/>
      </c>
      <c r="O111" s="80" t="str">
        <f ca="1">IF($D111="","",INDEX('Start List'!L$15:L$139,MATCH($D111,'Start List'!$B$15:$B$139,0)))</f>
        <v/>
      </c>
      <c r="P111" s="80" t="str">
        <f ca="1">IF($D111="","",INDEX('Start List'!M$15:M$139,MATCH($D111,'Start List'!$B$15:$B$139,0)))</f>
        <v/>
      </c>
      <c r="Q111" s="80" t="str">
        <f ca="1">IF($D111="","",INDEX('Start List'!N$15:N$139,MATCH($D111,'Start List'!$B$15:$B$139,0)))</f>
        <v/>
      </c>
      <c r="R111" s="80" t="str">
        <f ca="1">IF($D111="","",INDEX('Start List'!O$15:O$139,MATCH($D111,'Start List'!$B$15:$B$139,0)))</f>
        <v/>
      </c>
      <c r="S111" s="80" t="str">
        <f ca="1">IF($D111="","",INDEX('Start List'!P$15:P$139,MATCH($D111,'Start List'!$B$15:$B$139,0)))</f>
        <v/>
      </c>
      <c r="T111" s="80" t="str">
        <f ca="1">IF($D111="","",INDEX('Start List'!Q$15:Q$139,MATCH($D111,'Start List'!$B$15:$B$139,0)))</f>
        <v/>
      </c>
      <c r="U111" s="80" t="str">
        <f ca="1">IF($D111="","",INDEX('Start List'!R$15:R$139,MATCH($D111,'Start List'!$B$15:$B$139,0)))</f>
        <v/>
      </c>
      <c r="V111" s="80" t="str">
        <f ca="1">IF($D111="","",INDEX('Start List'!S$15:S$139,MATCH($D111,'Start List'!$B$15:$B$139,0)))</f>
        <v/>
      </c>
      <c r="W111" s="80" t="str">
        <f ca="1">IF($D111="","",INDEX('Start List'!T$15:T$139,MATCH($D111,'Start List'!$B$15:$B$139,0)))</f>
        <v/>
      </c>
      <c r="X111" s="80" t="str">
        <f ca="1">IF($D111="","",INDEX('Start List'!U$15:U$139,MATCH($D111,'Start List'!$B$15:$B$139,0)))</f>
        <v/>
      </c>
      <c r="Y111" s="80" t="str">
        <f ca="1">IF($D111="","",INDEX('Start List'!V$15:V$139,MATCH($D111,'Start List'!$B$15:$B$139,0)))</f>
        <v/>
      </c>
      <c r="Z111" s="80" t="str">
        <f ca="1">IF($D111="","",INDEX('Start List'!W$15:W$139,MATCH($D111,'Start List'!$B$15:$B$139,0)))</f>
        <v/>
      </c>
      <c r="AA111" s="80" t="str">
        <f ca="1">IF($D111="","",INDEX('Start List'!X$15:X$139,MATCH($D111,'Start List'!$B$15:$B$139,0)))</f>
        <v/>
      </c>
      <c r="AB111" s="80" t="str">
        <f ca="1">IF($D111="","",INDEX('Start List'!Y$15:Y$139,MATCH($D111,'Start List'!$B$15:$B$139,0)))</f>
        <v/>
      </c>
    </row>
    <row r="112" spans="1:28" ht="12.75" x14ac:dyDescent="0.2">
      <c r="A112" s="59" t="str">
        <f>IF(OR(COUNT('Start List'!A:A)+COUNTIF('Start List'!$I$9:$I$14,"&lt;21")='By Category'!A111,A111=""),"",'By Category'!A111+1)</f>
        <v/>
      </c>
      <c r="B112" s="74" t="str">
        <f>IF(A112="","",VLOOKUP(SMALL('Start List'!$I$9:$I$139,A112),'Start List'!$I$9:$J$14,2,FALSE))</f>
        <v/>
      </c>
      <c r="C112" s="75" t="str">
        <f>IF(OR(B112="",COUNTIF($B$9:B112,B112)=1),"",COUNTIF($B$9:B112,B112)-1)</f>
        <v/>
      </c>
      <c r="D112" s="227" t="str">
        <f ca="1">IF(""=C112,"",LARGE(INDIRECT(VLOOKUP(B112,'Start List'!$J$9:$N$14,5,FALSE)),C112))</f>
        <v/>
      </c>
      <c r="E112" s="79" t="str">
        <f>IF(C112="","",VLOOKUP(B112,Data!$AK$2:$AN$7,4,FALSE)&amp;C112)</f>
        <v/>
      </c>
      <c r="F112" s="80" t="str">
        <f>IF(COUNTIF(Data!$D$2:$D$97,'By Category'!$E112)=0,"",VLOOKUP('By Category'!$E112,Data!$D$2:$H$97,'By Category'!F$8,FALSE))</f>
        <v/>
      </c>
      <c r="G112" s="80" t="str">
        <f>IF(COUNTIF(Data!$D$2:$D$97,'By Category'!$E112)=0,"",VLOOKUP('By Category'!$E112,Data!$D$2:$H$97,'By Category'!G$8,FALSE))</f>
        <v/>
      </c>
      <c r="H112" s="80" t="str">
        <f>IF(COUNTIF(Data!$D$2:$D$97,'By Category'!$E112)=0,"",VLOOKUP('By Category'!$E112,Data!$D$2:$H$97,'By Category'!H$8,FALSE))</f>
        <v/>
      </c>
      <c r="I112" s="80" t="str">
        <f>IF(COUNTIF(Data!$D$2:$D$97,'By Category'!$E112)=0,"",VLOOKUP('By Category'!$E112,Data!$D$2:$H$97,'By Category'!I$8,FALSE))</f>
        <v/>
      </c>
      <c r="J112" s="77" t="str">
        <f ca="1">IF(B112&lt;&gt;B111,B112,IF($D112="","",INDEX('Start List'!$D$15:$D$139,MATCH($D112,'Start List'!$B$15:$B$139,0))))</f>
        <v/>
      </c>
      <c r="K112" s="77" t="str">
        <f ca="1">IF($D112="","",INDEX('Start List'!$E$15:$E$139,MATCH($D112,'Start List'!$B$15:$B$139,0)))</f>
        <v/>
      </c>
      <c r="L112" s="77" t="str">
        <f ca="1">IF($D112="","",INDEX('Start List'!$H$15:$H$139,MATCH($D112,'Start List'!$B$15:$B$139,0)))</f>
        <v/>
      </c>
      <c r="M112" s="79" t="str">
        <f ca="1">IF($D112="","",INDEX('Start List'!$F$15:$F$139,MATCH($D112,'Start List'!$B$15:$B$139,0)))</f>
        <v/>
      </c>
      <c r="N112" s="80" t="str">
        <f ca="1">IF($D112="","",INDEX('Start List'!K$15:K$139,MATCH($D112,'Start List'!$B$15:$B$139,0)))</f>
        <v/>
      </c>
      <c r="O112" s="80" t="str">
        <f ca="1">IF($D112="","",INDEX('Start List'!L$15:L$139,MATCH($D112,'Start List'!$B$15:$B$139,0)))</f>
        <v/>
      </c>
      <c r="P112" s="80" t="str">
        <f ca="1">IF($D112="","",INDEX('Start List'!M$15:M$139,MATCH($D112,'Start List'!$B$15:$B$139,0)))</f>
        <v/>
      </c>
      <c r="Q112" s="80" t="str">
        <f ca="1">IF($D112="","",INDEX('Start List'!N$15:N$139,MATCH($D112,'Start List'!$B$15:$B$139,0)))</f>
        <v/>
      </c>
      <c r="R112" s="80" t="str">
        <f ca="1">IF($D112="","",INDEX('Start List'!O$15:O$139,MATCH($D112,'Start List'!$B$15:$B$139,0)))</f>
        <v/>
      </c>
      <c r="S112" s="80" t="str">
        <f ca="1">IF($D112="","",INDEX('Start List'!P$15:P$139,MATCH($D112,'Start List'!$B$15:$B$139,0)))</f>
        <v/>
      </c>
      <c r="T112" s="80" t="str">
        <f ca="1">IF($D112="","",INDEX('Start List'!Q$15:Q$139,MATCH($D112,'Start List'!$B$15:$B$139,0)))</f>
        <v/>
      </c>
      <c r="U112" s="80" t="str">
        <f ca="1">IF($D112="","",INDEX('Start List'!R$15:R$139,MATCH($D112,'Start List'!$B$15:$B$139,0)))</f>
        <v/>
      </c>
      <c r="V112" s="80" t="str">
        <f ca="1">IF($D112="","",INDEX('Start List'!S$15:S$139,MATCH($D112,'Start List'!$B$15:$B$139,0)))</f>
        <v/>
      </c>
      <c r="W112" s="80" t="str">
        <f ca="1">IF($D112="","",INDEX('Start List'!T$15:T$139,MATCH($D112,'Start List'!$B$15:$B$139,0)))</f>
        <v/>
      </c>
      <c r="X112" s="80" t="str">
        <f ca="1">IF($D112="","",INDEX('Start List'!U$15:U$139,MATCH($D112,'Start List'!$B$15:$B$139,0)))</f>
        <v/>
      </c>
      <c r="Y112" s="80" t="str">
        <f ca="1">IF($D112="","",INDEX('Start List'!V$15:V$139,MATCH($D112,'Start List'!$B$15:$B$139,0)))</f>
        <v/>
      </c>
      <c r="Z112" s="80" t="str">
        <f ca="1">IF($D112="","",INDEX('Start List'!W$15:W$139,MATCH($D112,'Start List'!$B$15:$B$139,0)))</f>
        <v/>
      </c>
      <c r="AA112" s="80" t="str">
        <f ca="1">IF($D112="","",INDEX('Start List'!X$15:X$139,MATCH($D112,'Start List'!$B$15:$B$139,0)))</f>
        <v/>
      </c>
      <c r="AB112" s="80" t="str">
        <f ca="1">IF($D112="","",INDEX('Start List'!Y$15:Y$139,MATCH($D112,'Start List'!$B$15:$B$139,0)))</f>
        <v/>
      </c>
    </row>
    <row r="113" spans="1:28" ht="12.75" x14ac:dyDescent="0.2">
      <c r="A113" s="59" t="str">
        <f>IF(OR(COUNT('Start List'!A:A)+COUNTIF('Start List'!$I$9:$I$14,"&lt;21")='By Category'!A112,A112=""),"",'By Category'!A112+1)</f>
        <v/>
      </c>
      <c r="B113" s="74" t="str">
        <f>IF(A113="","",VLOOKUP(SMALL('Start List'!$I$9:$I$139,A113),'Start List'!$I$9:$J$14,2,FALSE))</f>
        <v/>
      </c>
      <c r="C113" s="75" t="str">
        <f>IF(OR(B113="",COUNTIF($B$9:B113,B113)=1),"",COUNTIF($B$9:B113,B113)-1)</f>
        <v/>
      </c>
      <c r="D113" s="227" t="str">
        <f ca="1">IF(""=C113,"",LARGE(INDIRECT(VLOOKUP(B113,'Start List'!$J$9:$N$14,5,FALSE)),C113))</f>
        <v/>
      </c>
      <c r="E113" s="79" t="str">
        <f>IF(C113="","",VLOOKUP(B113,Data!$AK$2:$AN$7,4,FALSE)&amp;C113)</f>
        <v/>
      </c>
      <c r="F113" s="80" t="str">
        <f>IF(COUNTIF(Data!$D$2:$D$97,'By Category'!$E113)=0,"",VLOOKUP('By Category'!$E113,Data!$D$2:$H$97,'By Category'!F$8,FALSE))</f>
        <v/>
      </c>
      <c r="G113" s="80" t="str">
        <f>IF(COUNTIF(Data!$D$2:$D$97,'By Category'!$E113)=0,"",VLOOKUP('By Category'!$E113,Data!$D$2:$H$97,'By Category'!G$8,FALSE))</f>
        <v/>
      </c>
      <c r="H113" s="80" t="str">
        <f>IF(COUNTIF(Data!$D$2:$D$97,'By Category'!$E113)=0,"",VLOOKUP('By Category'!$E113,Data!$D$2:$H$97,'By Category'!H$8,FALSE))</f>
        <v/>
      </c>
      <c r="I113" s="80" t="str">
        <f>IF(COUNTIF(Data!$D$2:$D$97,'By Category'!$E113)=0,"",VLOOKUP('By Category'!$E113,Data!$D$2:$H$97,'By Category'!I$8,FALSE))</f>
        <v/>
      </c>
      <c r="J113" s="77" t="str">
        <f ca="1">IF(B113&lt;&gt;B112,B113,IF($D113="","",INDEX('Start List'!$D$15:$D$139,MATCH($D113,'Start List'!$B$15:$B$139,0))))</f>
        <v/>
      </c>
      <c r="K113" s="77" t="str">
        <f ca="1">IF($D113="","",INDEX('Start List'!$E$15:$E$139,MATCH($D113,'Start List'!$B$15:$B$139,0)))</f>
        <v/>
      </c>
      <c r="L113" s="77" t="str">
        <f ca="1">IF($D113="","",INDEX('Start List'!$H$15:$H$139,MATCH($D113,'Start List'!$B$15:$B$139,0)))</f>
        <v/>
      </c>
      <c r="M113" s="79" t="str">
        <f ca="1">IF($D113="","",INDEX('Start List'!$F$15:$F$139,MATCH($D113,'Start List'!$B$15:$B$139,0)))</f>
        <v/>
      </c>
      <c r="N113" s="80" t="str">
        <f ca="1">IF($D113="","",INDEX('Start List'!K$15:K$139,MATCH($D113,'Start List'!$B$15:$B$139,0)))</f>
        <v/>
      </c>
      <c r="O113" s="80" t="str">
        <f ca="1">IF($D113="","",INDEX('Start List'!L$15:L$139,MATCH($D113,'Start List'!$B$15:$B$139,0)))</f>
        <v/>
      </c>
      <c r="P113" s="80" t="str">
        <f ca="1">IF($D113="","",INDEX('Start List'!M$15:M$139,MATCH($D113,'Start List'!$B$15:$B$139,0)))</f>
        <v/>
      </c>
      <c r="Q113" s="80" t="str">
        <f ca="1">IF($D113="","",INDEX('Start List'!N$15:N$139,MATCH($D113,'Start List'!$B$15:$B$139,0)))</f>
        <v/>
      </c>
      <c r="R113" s="80" t="str">
        <f ca="1">IF($D113="","",INDEX('Start List'!O$15:O$139,MATCH($D113,'Start List'!$B$15:$B$139,0)))</f>
        <v/>
      </c>
      <c r="S113" s="80" t="str">
        <f ca="1">IF($D113="","",INDEX('Start List'!P$15:P$139,MATCH($D113,'Start List'!$B$15:$B$139,0)))</f>
        <v/>
      </c>
      <c r="T113" s="80" t="str">
        <f ca="1">IF($D113="","",INDEX('Start List'!Q$15:Q$139,MATCH($D113,'Start List'!$B$15:$B$139,0)))</f>
        <v/>
      </c>
      <c r="U113" s="80" t="str">
        <f ca="1">IF($D113="","",INDEX('Start List'!R$15:R$139,MATCH($D113,'Start List'!$B$15:$B$139,0)))</f>
        <v/>
      </c>
      <c r="V113" s="80" t="str">
        <f ca="1">IF($D113="","",INDEX('Start List'!S$15:S$139,MATCH($D113,'Start List'!$B$15:$B$139,0)))</f>
        <v/>
      </c>
      <c r="W113" s="80" t="str">
        <f ca="1">IF($D113="","",INDEX('Start List'!T$15:T$139,MATCH($D113,'Start List'!$B$15:$B$139,0)))</f>
        <v/>
      </c>
      <c r="X113" s="80" t="str">
        <f ca="1">IF($D113="","",INDEX('Start List'!U$15:U$139,MATCH($D113,'Start List'!$B$15:$B$139,0)))</f>
        <v/>
      </c>
      <c r="Y113" s="80" t="str">
        <f ca="1">IF($D113="","",INDEX('Start List'!V$15:V$139,MATCH($D113,'Start List'!$B$15:$B$139,0)))</f>
        <v/>
      </c>
      <c r="Z113" s="80" t="str">
        <f ca="1">IF($D113="","",INDEX('Start List'!W$15:W$139,MATCH($D113,'Start List'!$B$15:$B$139,0)))</f>
        <v/>
      </c>
      <c r="AA113" s="80" t="str">
        <f ca="1">IF($D113="","",INDEX('Start List'!X$15:X$139,MATCH($D113,'Start List'!$B$15:$B$139,0)))</f>
        <v/>
      </c>
      <c r="AB113" s="80" t="str">
        <f ca="1">IF($D113="","",INDEX('Start List'!Y$15:Y$139,MATCH($D113,'Start List'!$B$15:$B$139,0)))</f>
        <v/>
      </c>
    </row>
    <row r="114" spans="1:28" ht="12.75" x14ac:dyDescent="0.2">
      <c r="A114" s="59" t="str">
        <f>IF(OR(COUNT('Start List'!A:A)+COUNTIF('Start List'!$I$9:$I$14,"&lt;21")='By Category'!A113,A113=""),"",'By Category'!A113+1)</f>
        <v/>
      </c>
      <c r="B114" s="74" t="str">
        <f>IF(A114="","",VLOOKUP(SMALL('Start List'!$I$9:$I$139,A114),'Start List'!$I$9:$J$14,2,FALSE))</f>
        <v/>
      </c>
      <c r="C114" s="75" t="str">
        <f>IF(OR(B114="",COUNTIF($B$9:B114,B114)=1),"",COUNTIF($B$9:B114,B114)-1)</f>
        <v/>
      </c>
      <c r="D114" s="227" t="str">
        <f ca="1">IF(""=C114,"",LARGE(INDIRECT(VLOOKUP(B114,'Start List'!$J$9:$N$14,5,FALSE)),C114))</f>
        <v/>
      </c>
      <c r="E114" s="79" t="str">
        <f>IF(C114="","",VLOOKUP(B114,Data!$AK$2:$AN$7,4,FALSE)&amp;C114)</f>
        <v/>
      </c>
      <c r="F114" s="80" t="str">
        <f>IF(COUNTIF(Data!$D$2:$D$97,'By Category'!$E114)=0,"",VLOOKUP('By Category'!$E114,Data!$D$2:$H$97,'By Category'!F$8,FALSE))</f>
        <v/>
      </c>
      <c r="G114" s="80" t="str">
        <f>IF(COUNTIF(Data!$D$2:$D$97,'By Category'!$E114)=0,"",VLOOKUP('By Category'!$E114,Data!$D$2:$H$97,'By Category'!G$8,FALSE))</f>
        <v/>
      </c>
      <c r="H114" s="80" t="str">
        <f>IF(COUNTIF(Data!$D$2:$D$97,'By Category'!$E114)=0,"",VLOOKUP('By Category'!$E114,Data!$D$2:$H$97,'By Category'!H$8,FALSE))</f>
        <v/>
      </c>
      <c r="I114" s="80" t="str">
        <f>IF(COUNTIF(Data!$D$2:$D$97,'By Category'!$E114)=0,"",VLOOKUP('By Category'!$E114,Data!$D$2:$H$97,'By Category'!I$8,FALSE))</f>
        <v/>
      </c>
      <c r="J114" s="77" t="str">
        <f ca="1">IF(B114&lt;&gt;B113,B114,IF($D114="","",INDEX('Start List'!$D$15:$D$139,MATCH($D114,'Start List'!$B$15:$B$139,0))))</f>
        <v/>
      </c>
      <c r="K114" s="77" t="str">
        <f ca="1">IF($D114="","",INDEX('Start List'!$E$15:$E$139,MATCH($D114,'Start List'!$B$15:$B$139,0)))</f>
        <v/>
      </c>
      <c r="L114" s="77" t="str">
        <f ca="1">IF($D114="","",INDEX('Start List'!$H$15:$H$139,MATCH($D114,'Start List'!$B$15:$B$139,0)))</f>
        <v/>
      </c>
      <c r="M114" s="79" t="str">
        <f ca="1">IF($D114="","",INDEX('Start List'!$F$15:$F$139,MATCH($D114,'Start List'!$B$15:$B$139,0)))</f>
        <v/>
      </c>
      <c r="N114" s="80" t="str">
        <f ca="1">IF($D114="","",INDEX('Start List'!K$15:K$139,MATCH($D114,'Start List'!$B$15:$B$139,0)))</f>
        <v/>
      </c>
      <c r="O114" s="80" t="str">
        <f ca="1">IF($D114="","",INDEX('Start List'!L$15:L$139,MATCH($D114,'Start List'!$B$15:$B$139,0)))</f>
        <v/>
      </c>
      <c r="P114" s="80" t="str">
        <f ca="1">IF($D114="","",INDEX('Start List'!M$15:M$139,MATCH($D114,'Start List'!$B$15:$B$139,0)))</f>
        <v/>
      </c>
      <c r="Q114" s="80" t="str">
        <f ca="1">IF($D114="","",INDEX('Start List'!N$15:N$139,MATCH($D114,'Start List'!$B$15:$B$139,0)))</f>
        <v/>
      </c>
      <c r="R114" s="80" t="str">
        <f ca="1">IF($D114="","",INDEX('Start List'!O$15:O$139,MATCH($D114,'Start List'!$B$15:$B$139,0)))</f>
        <v/>
      </c>
      <c r="S114" s="80" t="str">
        <f ca="1">IF($D114="","",INDEX('Start List'!P$15:P$139,MATCH($D114,'Start List'!$B$15:$B$139,0)))</f>
        <v/>
      </c>
      <c r="T114" s="80" t="str">
        <f ca="1">IF($D114="","",INDEX('Start List'!Q$15:Q$139,MATCH($D114,'Start List'!$B$15:$B$139,0)))</f>
        <v/>
      </c>
      <c r="U114" s="80" t="str">
        <f ca="1">IF($D114="","",INDEX('Start List'!R$15:R$139,MATCH($D114,'Start List'!$B$15:$B$139,0)))</f>
        <v/>
      </c>
      <c r="V114" s="80" t="str">
        <f ca="1">IF($D114="","",INDEX('Start List'!S$15:S$139,MATCH($D114,'Start List'!$B$15:$B$139,0)))</f>
        <v/>
      </c>
      <c r="W114" s="80" t="str">
        <f ca="1">IF($D114="","",INDEX('Start List'!T$15:T$139,MATCH($D114,'Start List'!$B$15:$B$139,0)))</f>
        <v/>
      </c>
      <c r="X114" s="80" t="str">
        <f ca="1">IF($D114="","",INDEX('Start List'!U$15:U$139,MATCH($D114,'Start List'!$B$15:$B$139,0)))</f>
        <v/>
      </c>
      <c r="Y114" s="80" t="str">
        <f ca="1">IF($D114="","",INDEX('Start List'!V$15:V$139,MATCH($D114,'Start List'!$B$15:$B$139,0)))</f>
        <v/>
      </c>
      <c r="Z114" s="80" t="str">
        <f ca="1">IF($D114="","",INDEX('Start List'!W$15:W$139,MATCH($D114,'Start List'!$B$15:$B$139,0)))</f>
        <v/>
      </c>
      <c r="AA114" s="80" t="str">
        <f ca="1">IF($D114="","",INDEX('Start List'!X$15:X$139,MATCH($D114,'Start List'!$B$15:$B$139,0)))</f>
        <v/>
      </c>
      <c r="AB114" s="80" t="str">
        <f ca="1">IF($D114="","",INDEX('Start List'!Y$15:Y$139,MATCH($D114,'Start List'!$B$15:$B$139,0)))</f>
        <v/>
      </c>
    </row>
    <row r="115" spans="1:28" ht="12.75" x14ac:dyDescent="0.2">
      <c r="A115" s="59" t="str">
        <f>IF(OR(COUNT('Start List'!A:A)+COUNTIF('Start List'!$I$9:$I$14,"&lt;21")='By Category'!A114,A114=""),"",'By Category'!A114+1)</f>
        <v/>
      </c>
      <c r="B115" s="74" t="str">
        <f>IF(A115="","",VLOOKUP(SMALL('Start List'!$I$9:$I$139,A115),'Start List'!$I$9:$J$14,2,FALSE))</f>
        <v/>
      </c>
      <c r="C115" s="75" t="str">
        <f>IF(OR(B115="",COUNTIF($B$9:B115,B115)=1),"",COUNTIF($B$9:B115,B115)-1)</f>
        <v/>
      </c>
      <c r="D115" s="227" t="str">
        <f ca="1">IF(""=C115,"",LARGE(INDIRECT(VLOOKUP(B115,'Start List'!$J$9:$N$14,5,FALSE)),C115))</f>
        <v/>
      </c>
      <c r="E115" s="79" t="str">
        <f>IF(C115="","",VLOOKUP(B115,Data!$AK$2:$AN$7,4,FALSE)&amp;C115)</f>
        <v/>
      </c>
      <c r="F115" s="80" t="str">
        <f>IF(COUNTIF(Data!$D$2:$D$97,'By Category'!$E115)=0,"",VLOOKUP('By Category'!$E115,Data!$D$2:$H$97,'By Category'!F$8,FALSE))</f>
        <v/>
      </c>
      <c r="G115" s="80" t="str">
        <f>IF(COUNTIF(Data!$D$2:$D$97,'By Category'!$E115)=0,"",VLOOKUP('By Category'!$E115,Data!$D$2:$H$97,'By Category'!G$8,FALSE))</f>
        <v/>
      </c>
      <c r="H115" s="80" t="str">
        <f>IF(COUNTIF(Data!$D$2:$D$97,'By Category'!$E115)=0,"",VLOOKUP('By Category'!$E115,Data!$D$2:$H$97,'By Category'!H$8,FALSE))</f>
        <v/>
      </c>
      <c r="I115" s="80" t="str">
        <f>IF(COUNTIF(Data!$D$2:$D$97,'By Category'!$E115)=0,"",VLOOKUP('By Category'!$E115,Data!$D$2:$H$97,'By Category'!I$8,FALSE))</f>
        <v/>
      </c>
      <c r="J115" s="77" t="str">
        <f ca="1">IF(B115&lt;&gt;B114,B115,IF($D115="","",INDEX('Start List'!$D$15:$D$139,MATCH($D115,'Start List'!$B$15:$B$139,0))))</f>
        <v/>
      </c>
      <c r="K115" s="77" t="str">
        <f ca="1">IF($D115="","",INDEX('Start List'!$E$15:$E$139,MATCH($D115,'Start List'!$B$15:$B$139,0)))</f>
        <v/>
      </c>
      <c r="L115" s="77" t="str">
        <f ca="1">IF($D115="","",INDEX('Start List'!$H$15:$H$139,MATCH($D115,'Start List'!$B$15:$B$139,0)))</f>
        <v/>
      </c>
      <c r="M115" s="79" t="str">
        <f ca="1">IF($D115="","",INDEX('Start List'!$F$15:$F$139,MATCH($D115,'Start List'!$B$15:$B$139,0)))</f>
        <v/>
      </c>
      <c r="N115" s="80" t="str">
        <f ca="1">IF($D115="","",INDEX('Start List'!K$15:K$139,MATCH($D115,'Start List'!$B$15:$B$139,0)))</f>
        <v/>
      </c>
      <c r="O115" s="80" t="str">
        <f ca="1">IF($D115="","",INDEX('Start List'!L$15:L$139,MATCH($D115,'Start List'!$B$15:$B$139,0)))</f>
        <v/>
      </c>
      <c r="P115" s="80" t="str">
        <f ca="1">IF($D115="","",INDEX('Start List'!M$15:M$139,MATCH($D115,'Start List'!$B$15:$B$139,0)))</f>
        <v/>
      </c>
      <c r="Q115" s="80" t="str">
        <f ca="1">IF($D115="","",INDEX('Start List'!N$15:N$139,MATCH($D115,'Start List'!$B$15:$B$139,0)))</f>
        <v/>
      </c>
      <c r="R115" s="80" t="str">
        <f ca="1">IF($D115="","",INDEX('Start List'!O$15:O$139,MATCH($D115,'Start List'!$B$15:$B$139,0)))</f>
        <v/>
      </c>
      <c r="S115" s="80" t="str">
        <f ca="1">IF($D115="","",INDEX('Start List'!P$15:P$139,MATCH($D115,'Start List'!$B$15:$B$139,0)))</f>
        <v/>
      </c>
      <c r="T115" s="80" t="str">
        <f ca="1">IF($D115="","",INDEX('Start List'!Q$15:Q$139,MATCH($D115,'Start List'!$B$15:$B$139,0)))</f>
        <v/>
      </c>
      <c r="U115" s="80" t="str">
        <f ca="1">IF($D115="","",INDEX('Start List'!R$15:R$139,MATCH($D115,'Start List'!$B$15:$B$139,0)))</f>
        <v/>
      </c>
      <c r="V115" s="80" t="str">
        <f ca="1">IF($D115="","",INDEX('Start List'!S$15:S$139,MATCH($D115,'Start List'!$B$15:$B$139,0)))</f>
        <v/>
      </c>
      <c r="W115" s="80" t="str">
        <f ca="1">IF($D115="","",INDEX('Start List'!T$15:T$139,MATCH($D115,'Start List'!$B$15:$B$139,0)))</f>
        <v/>
      </c>
      <c r="X115" s="80" t="str">
        <f ca="1">IF($D115="","",INDEX('Start List'!U$15:U$139,MATCH($D115,'Start List'!$B$15:$B$139,0)))</f>
        <v/>
      </c>
      <c r="Y115" s="80" t="str">
        <f ca="1">IF($D115="","",INDEX('Start List'!V$15:V$139,MATCH($D115,'Start List'!$B$15:$B$139,0)))</f>
        <v/>
      </c>
      <c r="Z115" s="80" t="str">
        <f ca="1">IF($D115="","",INDEX('Start List'!W$15:W$139,MATCH($D115,'Start List'!$B$15:$B$139,0)))</f>
        <v/>
      </c>
      <c r="AA115" s="80" t="str">
        <f ca="1">IF($D115="","",INDEX('Start List'!X$15:X$139,MATCH($D115,'Start List'!$B$15:$B$139,0)))</f>
        <v/>
      </c>
      <c r="AB115" s="80" t="str">
        <f ca="1">IF($D115="","",INDEX('Start List'!Y$15:Y$139,MATCH($D115,'Start List'!$B$15:$B$139,0)))</f>
        <v/>
      </c>
    </row>
    <row r="116" spans="1:28" ht="12.75" x14ac:dyDescent="0.2">
      <c r="A116" s="59" t="str">
        <f>IF(OR(COUNT('Start List'!A:A)+COUNTIF('Start List'!$I$9:$I$14,"&lt;21")='By Category'!A115,A115=""),"",'By Category'!A115+1)</f>
        <v/>
      </c>
      <c r="B116" s="74" t="str">
        <f>IF(A116="","",VLOOKUP(SMALL('Start List'!$I$9:$I$139,A116),'Start List'!$I$9:$J$14,2,FALSE))</f>
        <v/>
      </c>
      <c r="C116" s="75" t="str">
        <f>IF(OR(B116="",COUNTIF($B$9:B116,B116)=1),"",COUNTIF($B$9:B116,B116)-1)</f>
        <v/>
      </c>
      <c r="D116" s="227" t="str">
        <f ca="1">IF(""=C116,"",LARGE(INDIRECT(VLOOKUP(B116,'Start List'!$J$9:$N$14,5,FALSE)),C116))</f>
        <v/>
      </c>
      <c r="E116" s="79" t="str">
        <f>IF(C116="","",VLOOKUP(B116,Data!$AK$2:$AN$7,4,FALSE)&amp;C116)</f>
        <v/>
      </c>
      <c r="F116" s="80" t="str">
        <f>IF(COUNTIF(Data!$D$2:$D$97,'By Category'!$E116)=0,"",VLOOKUP('By Category'!$E116,Data!$D$2:$H$97,'By Category'!F$8,FALSE))</f>
        <v/>
      </c>
      <c r="G116" s="80" t="str">
        <f>IF(COUNTIF(Data!$D$2:$D$97,'By Category'!$E116)=0,"",VLOOKUP('By Category'!$E116,Data!$D$2:$H$97,'By Category'!G$8,FALSE))</f>
        <v/>
      </c>
      <c r="H116" s="80" t="str">
        <f>IF(COUNTIF(Data!$D$2:$D$97,'By Category'!$E116)=0,"",VLOOKUP('By Category'!$E116,Data!$D$2:$H$97,'By Category'!H$8,FALSE))</f>
        <v/>
      </c>
      <c r="I116" s="80" t="str">
        <f>IF(COUNTIF(Data!$D$2:$D$97,'By Category'!$E116)=0,"",VLOOKUP('By Category'!$E116,Data!$D$2:$H$97,'By Category'!I$8,FALSE))</f>
        <v/>
      </c>
      <c r="J116" s="77" t="str">
        <f ca="1">IF(B116&lt;&gt;B115,B116,IF($D116="","",INDEX('Start List'!$D$15:$D$139,MATCH($D116,'Start List'!$B$15:$B$139,0))))</f>
        <v/>
      </c>
      <c r="K116" s="77" t="str">
        <f ca="1">IF($D116="","",INDEX('Start List'!$E$15:$E$139,MATCH($D116,'Start List'!$B$15:$B$139,0)))</f>
        <v/>
      </c>
      <c r="L116" s="77" t="str">
        <f ca="1">IF($D116="","",INDEX('Start List'!$H$15:$H$139,MATCH($D116,'Start List'!$B$15:$B$139,0)))</f>
        <v/>
      </c>
      <c r="M116" s="79" t="str">
        <f ca="1">IF($D116="","",INDEX('Start List'!$F$15:$F$139,MATCH($D116,'Start List'!$B$15:$B$139,0)))</f>
        <v/>
      </c>
      <c r="N116" s="80" t="str">
        <f ca="1">IF($D116="","",INDEX('Start List'!K$15:K$139,MATCH($D116,'Start List'!$B$15:$B$139,0)))</f>
        <v/>
      </c>
      <c r="O116" s="80" t="str">
        <f ca="1">IF($D116="","",INDEX('Start List'!L$15:L$139,MATCH($D116,'Start List'!$B$15:$B$139,0)))</f>
        <v/>
      </c>
      <c r="P116" s="80" t="str">
        <f ca="1">IF($D116="","",INDEX('Start List'!M$15:M$139,MATCH($D116,'Start List'!$B$15:$B$139,0)))</f>
        <v/>
      </c>
      <c r="Q116" s="80" t="str">
        <f ca="1">IF($D116="","",INDEX('Start List'!N$15:N$139,MATCH($D116,'Start List'!$B$15:$B$139,0)))</f>
        <v/>
      </c>
      <c r="R116" s="80" t="str">
        <f ca="1">IF($D116="","",INDEX('Start List'!O$15:O$139,MATCH($D116,'Start List'!$B$15:$B$139,0)))</f>
        <v/>
      </c>
      <c r="S116" s="80" t="str">
        <f ca="1">IF($D116="","",INDEX('Start List'!P$15:P$139,MATCH($D116,'Start List'!$B$15:$B$139,0)))</f>
        <v/>
      </c>
      <c r="T116" s="80" t="str">
        <f ca="1">IF($D116="","",INDEX('Start List'!Q$15:Q$139,MATCH($D116,'Start List'!$B$15:$B$139,0)))</f>
        <v/>
      </c>
      <c r="U116" s="80" t="str">
        <f ca="1">IF($D116="","",INDEX('Start List'!R$15:R$139,MATCH($D116,'Start List'!$B$15:$B$139,0)))</f>
        <v/>
      </c>
      <c r="V116" s="80" t="str">
        <f ca="1">IF($D116="","",INDEX('Start List'!S$15:S$139,MATCH($D116,'Start List'!$B$15:$B$139,0)))</f>
        <v/>
      </c>
      <c r="W116" s="80" t="str">
        <f ca="1">IF($D116="","",INDEX('Start List'!T$15:T$139,MATCH($D116,'Start List'!$B$15:$B$139,0)))</f>
        <v/>
      </c>
      <c r="X116" s="80" t="str">
        <f ca="1">IF($D116="","",INDEX('Start List'!U$15:U$139,MATCH($D116,'Start List'!$B$15:$B$139,0)))</f>
        <v/>
      </c>
      <c r="Y116" s="80" t="str">
        <f ca="1">IF($D116="","",INDEX('Start List'!V$15:V$139,MATCH($D116,'Start List'!$B$15:$B$139,0)))</f>
        <v/>
      </c>
      <c r="Z116" s="80" t="str">
        <f ca="1">IF($D116="","",INDEX('Start List'!W$15:W$139,MATCH($D116,'Start List'!$B$15:$B$139,0)))</f>
        <v/>
      </c>
      <c r="AA116" s="80" t="str">
        <f ca="1">IF($D116="","",INDEX('Start List'!X$15:X$139,MATCH($D116,'Start List'!$B$15:$B$139,0)))</f>
        <v/>
      </c>
      <c r="AB116" s="80" t="str">
        <f ca="1">IF($D116="","",INDEX('Start List'!Y$15:Y$139,MATCH($D116,'Start List'!$B$15:$B$139,0)))</f>
        <v/>
      </c>
    </row>
    <row r="117" spans="1:28" ht="12.75" x14ac:dyDescent="0.2">
      <c r="A117" s="59" t="str">
        <f>IF(OR(COUNT('Start List'!A:A)+COUNTIF('Start List'!$I$9:$I$14,"&lt;21")='By Category'!A116,A116=""),"",'By Category'!A116+1)</f>
        <v/>
      </c>
      <c r="B117" s="74" t="str">
        <f>IF(A117="","",VLOOKUP(SMALL('Start List'!$I$9:$I$139,A117),'Start List'!$I$9:$J$14,2,FALSE))</f>
        <v/>
      </c>
      <c r="C117" s="75" t="str">
        <f>IF(OR(B117="",COUNTIF($B$9:B117,B117)=1),"",COUNTIF($B$9:B117,B117)-1)</f>
        <v/>
      </c>
      <c r="D117" s="227" t="str">
        <f ca="1">IF(""=C117,"",LARGE(INDIRECT(VLOOKUP(B117,'Start List'!$J$9:$N$14,5,FALSE)),C117))</f>
        <v/>
      </c>
      <c r="E117" s="79" t="str">
        <f>IF(C117="","",VLOOKUP(B117,Data!$AK$2:$AN$7,4,FALSE)&amp;C117)</f>
        <v/>
      </c>
      <c r="F117" s="80" t="str">
        <f>IF(COUNTIF(Data!$D$2:$D$97,'By Category'!$E117)=0,"",VLOOKUP('By Category'!$E117,Data!$D$2:$H$97,'By Category'!F$8,FALSE))</f>
        <v/>
      </c>
      <c r="G117" s="80" t="str">
        <f>IF(COUNTIF(Data!$D$2:$D$97,'By Category'!$E117)=0,"",VLOOKUP('By Category'!$E117,Data!$D$2:$H$97,'By Category'!G$8,FALSE))</f>
        <v/>
      </c>
      <c r="H117" s="80" t="str">
        <f>IF(COUNTIF(Data!$D$2:$D$97,'By Category'!$E117)=0,"",VLOOKUP('By Category'!$E117,Data!$D$2:$H$97,'By Category'!H$8,FALSE))</f>
        <v/>
      </c>
      <c r="I117" s="80" t="str">
        <f>IF(COUNTIF(Data!$D$2:$D$97,'By Category'!$E117)=0,"",VLOOKUP('By Category'!$E117,Data!$D$2:$H$97,'By Category'!I$8,FALSE))</f>
        <v/>
      </c>
      <c r="J117" s="77" t="str">
        <f ca="1">IF(B117&lt;&gt;B116,B117,IF($D117="","",INDEX('Start List'!$D$15:$D$139,MATCH($D117,'Start List'!$B$15:$B$139,0))))</f>
        <v/>
      </c>
      <c r="K117" s="77" t="str">
        <f ca="1">IF($D117="","",INDEX('Start List'!$E$15:$E$139,MATCH($D117,'Start List'!$B$15:$B$139,0)))</f>
        <v/>
      </c>
      <c r="L117" s="77" t="str">
        <f ca="1">IF($D117="","",INDEX('Start List'!$H$15:$H$139,MATCH($D117,'Start List'!$B$15:$B$139,0)))</f>
        <v/>
      </c>
      <c r="M117" s="79" t="str">
        <f ca="1">IF($D117="","",INDEX('Start List'!$F$15:$F$139,MATCH($D117,'Start List'!$B$15:$B$139,0)))</f>
        <v/>
      </c>
      <c r="N117" s="80" t="str">
        <f ca="1">IF($D117="","",INDEX('Start List'!K$15:K$139,MATCH($D117,'Start List'!$B$15:$B$139,0)))</f>
        <v/>
      </c>
      <c r="O117" s="80" t="str">
        <f ca="1">IF($D117="","",INDEX('Start List'!L$15:L$139,MATCH($D117,'Start List'!$B$15:$B$139,0)))</f>
        <v/>
      </c>
      <c r="P117" s="80" t="str">
        <f ca="1">IF($D117="","",INDEX('Start List'!M$15:M$139,MATCH($D117,'Start List'!$B$15:$B$139,0)))</f>
        <v/>
      </c>
      <c r="Q117" s="80" t="str">
        <f ca="1">IF($D117="","",INDEX('Start List'!N$15:N$139,MATCH($D117,'Start List'!$B$15:$B$139,0)))</f>
        <v/>
      </c>
      <c r="R117" s="80" t="str">
        <f ca="1">IF($D117="","",INDEX('Start List'!O$15:O$139,MATCH($D117,'Start List'!$B$15:$B$139,0)))</f>
        <v/>
      </c>
      <c r="S117" s="80" t="str">
        <f ca="1">IF($D117="","",INDEX('Start List'!P$15:P$139,MATCH($D117,'Start List'!$B$15:$B$139,0)))</f>
        <v/>
      </c>
      <c r="T117" s="80" t="str">
        <f ca="1">IF($D117="","",INDEX('Start List'!Q$15:Q$139,MATCH($D117,'Start List'!$B$15:$B$139,0)))</f>
        <v/>
      </c>
      <c r="U117" s="80" t="str">
        <f ca="1">IF($D117="","",INDEX('Start List'!R$15:R$139,MATCH($D117,'Start List'!$B$15:$B$139,0)))</f>
        <v/>
      </c>
      <c r="V117" s="80" t="str">
        <f ca="1">IF($D117="","",INDEX('Start List'!S$15:S$139,MATCH($D117,'Start List'!$B$15:$B$139,0)))</f>
        <v/>
      </c>
      <c r="W117" s="80" t="str">
        <f ca="1">IF($D117="","",INDEX('Start List'!T$15:T$139,MATCH($D117,'Start List'!$B$15:$B$139,0)))</f>
        <v/>
      </c>
      <c r="X117" s="80" t="str">
        <f ca="1">IF($D117="","",INDEX('Start List'!U$15:U$139,MATCH($D117,'Start List'!$B$15:$B$139,0)))</f>
        <v/>
      </c>
      <c r="Y117" s="80" t="str">
        <f ca="1">IF($D117="","",INDEX('Start List'!V$15:V$139,MATCH($D117,'Start List'!$B$15:$B$139,0)))</f>
        <v/>
      </c>
      <c r="Z117" s="80" t="str">
        <f ca="1">IF($D117="","",INDEX('Start List'!W$15:W$139,MATCH($D117,'Start List'!$B$15:$B$139,0)))</f>
        <v/>
      </c>
      <c r="AA117" s="80" t="str">
        <f ca="1">IF($D117="","",INDEX('Start List'!X$15:X$139,MATCH($D117,'Start List'!$B$15:$B$139,0)))</f>
        <v/>
      </c>
      <c r="AB117" s="80" t="str">
        <f ca="1">IF($D117="","",INDEX('Start List'!Y$15:Y$139,MATCH($D117,'Start List'!$B$15:$B$139,0)))</f>
        <v/>
      </c>
    </row>
    <row r="118" spans="1:28" ht="12.75" x14ac:dyDescent="0.2">
      <c r="A118" s="59" t="str">
        <f>IF(OR(COUNT('Start List'!A:A)+COUNTIF('Start List'!$I$9:$I$14,"&lt;21")='By Category'!A117,A117=""),"",'By Category'!A117+1)</f>
        <v/>
      </c>
      <c r="B118" s="74" t="str">
        <f>IF(A118="","",VLOOKUP(SMALL('Start List'!$I$9:$I$139,A118),'Start List'!$I$9:$J$14,2,FALSE))</f>
        <v/>
      </c>
      <c r="C118" s="75" t="str">
        <f>IF(OR(B118="",COUNTIF($B$9:B118,B118)=1),"",COUNTIF($B$9:B118,B118)-1)</f>
        <v/>
      </c>
      <c r="D118" s="227" t="str">
        <f ca="1">IF(""=C118,"",LARGE(INDIRECT(VLOOKUP(B118,'Start List'!$J$9:$N$14,5,FALSE)),C118))</f>
        <v/>
      </c>
      <c r="E118" s="79" t="str">
        <f>IF(C118="","",VLOOKUP(B118,Data!$AK$2:$AN$7,4,FALSE)&amp;C118)</f>
        <v/>
      </c>
      <c r="F118" s="80" t="str">
        <f>IF(COUNTIF(Data!$D$2:$D$97,'By Category'!$E118)=0,"",VLOOKUP('By Category'!$E118,Data!$D$2:$H$97,'By Category'!F$8,FALSE))</f>
        <v/>
      </c>
      <c r="G118" s="80" t="str">
        <f>IF(COUNTIF(Data!$D$2:$D$97,'By Category'!$E118)=0,"",VLOOKUP('By Category'!$E118,Data!$D$2:$H$97,'By Category'!G$8,FALSE))</f>
        <v/>
      </c>
      <c r="H118" s="80" t="str">
        <f>IF(COUNTIF(Data!$D$2:$D$97,'By Category'!$E118)=0,"",VLOOKUP('By Category'!$E118,Data!$D$2:$H$97,'By Category'!H$8,FALSE))</f>
        <v/>
      </c>
      <c r="I118" s="80" t="str">
        <f>IF(COUNTIF(Data!$D$2:$D$97,'By Category'!$E118)=0,"",VLOOKUP('By Category'!$E118,Data!$D$2:$H$97,'By Category'!I$8,FALSE))</f>
        <v/>
      </c>
      <c r="J118" s="77" t="str">
        <f ca="1">IF(B118&lt;&gt;B117,B118,IF($D118="","",INDEX('Start List'!$D$15:$D$139,MATCH($D118,'Start List'!$B$15:$B$139,0))))</f>
        <v/>
      </c>
      <c r="K118" s="77" t="str">
        <f ca="1">IF($D118="","",INDEX('Start List'!$E$15:$E$139,MATCH($D118,'Start List'!$B$15:$B$139,0)))</f>
        <v/>
      </c>
      <c r="L118" s="77" t="str">
        <f ca="1">IF($D118="","",INDEX('Start List'!$H$15:$H$139,MATCH($D118,'Start List'!$B$15:$B$139,0)))</f>
        <v/>
      </c>
      <c r="M118" s="79" t="str">
        <f ca="1">IF($D118="","",INDEX('Start List'!$F$15:$F$139,MATCH($D118,'Start List'!$B$15:$B$139,0)))</f>
        <v/>
      </c>
      <c r="N118" s="80" t="str">
        <f ca="1">IF($D118="","",INDEX('Start List'!K$15:K$139,MATCH($D118,'Start List'!$B$15:$B$139,0)))</f>
        <v/>
      </c>
      <c r="O118" s="80" t="str">
        <f ca="1">IF($D118="","",INDEX('Start List'!L$15:L$139,MATCH($D118,'Start List'!$B$15:$B$139,0)))</f>
        <v/>
      </c>
      <c r="P118" s="80" t="str">
        <f ca="1">IF($D118="","",INDEX('Start List'!M$15:M$139,MATCH($D118,'Start List'!$B$15:$B$139,0)))</f>
        <v/>
      </c>
      <c r="Q118" s="80" t="str">
        <f ca="1">IF($D118="","",INDEX('Start List'!N$15:N$139,MATCH($D118,'Start List'!$B$15:$B$139,0)))</f>
        <v/>
      </c>
      <c r="R118" s="80" t="str">
        <f ca="1">IF($D118="","",INDEX('Start List'!O$15:O$139,MATCH($D118,'Start List'!$B$15:$B$139,0)))</f>
        <v/>
      </c>
      <c r="S118" s="80" t="str">
        <f ca="1">IF($D118="","",INDEX('Start List'!P$15:P$139,MATCH($D118,'Start List'!$B$15:$B$139,0)))</f>
        <v/>
      </c>
      <c r="T118" s="80" t="str">
        <f ca="1">IF($D118="","",INDEX('Start List'!Q$15:Q$139,MATCH($D118,'Start List'!$B$15:$B$139,0)))</f>
        <v/>
      </c>
      <c r="U118" s="80" t="str">
        <f ca="1">IF($D118="","",INDEX('Start List'!R$15:R$139,MATCH($D118,'Start List'!$B$15:$B$139,0)))</f>
        <v/>
      </c>
      <c r="V118" s="80" t="str">
        <f ca="1">IF($D118="","",INDEX('Start List'!S$15:S$139,MATCH($D118,'Start List'!$B$15:$B$139,0)))</f>
        <v/>
      </c>
      <c r="W118" s="80" t="str">
        <f ca="1">IF($D118="","",INDEX('Start List'!T$15:T$139,MATCH($D118,'Start List'!$B$15:$B$139,0)))</f>
        <v/>
      </c>
      <c r="X118" s="80" t="str">
        <f ca="1">IF($D118="","",INDEX('Start List'!U$15:U$139,MATCH($D118,'Start List'!$B$15:$B$139,0)))</f>
        <v/>
      </c>
      <c r="Y118" s="80" t="str">
        <f ca="1">IF($D118="","",INDEX('Start List'!V$15:V$139,MATCH($D118,'Start List'!$B$15:$B$139,0)))</f>
        <v/>
      </c>
      <c r="Z118" s="80" t="str">
        <f ca="1">IF($D118="","",INDEX('Start List'!W$15:W$139,MATCH($D118,'Start List'!$B$15:$B$139,0)))</f>
        <v/>
      </c>
      <c r="AA118" s="80" t="str">
        <f ca="1">IF($D118="","",INDEX('Start List'!X$15:X$139,MATCH($D118,'Start List'!$B$15:$B$139,0)))</f>
        <v/>
      </c>
      <c r="AB118" s="80" t="str">
        <f ca="1">IF($D118="","",INDEX('Start List'!Y$15:Y$139,MATCH($D118,'Start List'!$B$15:$B$139,0)))</f>
        <v/>
      </c>
    </row>
    <row r="119" spans="1:28" ht="12.75" x14ac:dyDescent="0.2">
      <c r="A119" s="59" t="str">
        <f>IF(OR(COUNT('Start List'!A:A)+COUNTIF('Start List'!$I$9:$I$14,"&lt;21")='By Category'!A118,A118=""),"",'By Category'!A118+1)</f>
        <v/>
      </c>
      <c r="B119" s="74" t="str">
        <f>IF(A119="","",VLOOKUP(SMALL('Start List'!$I$9:$I$139,A119),'Start List'!$I$9:$J$14,2,FALSE))</f>
        <v/>
      </c>
      <c r="C119" s="75" t="str">
        <f>IF(OR(B119="",COUNTIF($B$9:B119,B119)=1),"",COUNTIF($B$9:B119,B119)-1)</f>
        <v/>
      </c>
      <c r="D119" s="227" t="str">
        <f ca="1">IF(""=C119,"",LARGE(INDIRECT(VLOOKUP(B119,'Start List'!$J$9:$N$14,5,FALSE)),C119))</f>
        <v/>
      </c>
      <c r="E119" s="79" t="str">
        <f>IF(C119="","",VLOOKUP(B119,Data!$AK$2:$AN$7,4,FALSE)&amp;C119)</f>
        <v/>
      </c>
      <c r="F119" s="80" t="str">
        <f>IF(COUNTIF(Data!$D$2:$D$97,'By Category'!$E119)=0,"",VLOOKUP('By Category'!$E119,Data!$D$2:$H$97,'By Category'!F$8,FALSE))</f>
        <v/>
      </c>
      <c r="G119" s="80" t="str">
        <f>IF(COUNTIF(Data!$D$2:$D$97,'By Category'!$E119)=0,"",VLOOKUP('By Category'!$E119,Data!$D$2:$H$97,'By Category'!G$8,FALSE))</f>
        <v/>
      </c>
      <c r="H119" s="80" t="str">
        <f>IF(COUNTIF(Data!$D$2:$D$97,'By Category'!$E119)=0,"",VLOOKUP('By Category'!$E119,Data!$D$2:$H$97,'By Category'!H$8,FALSE))</f>
        <v/>
      </c>
      <c r="I119" s="80" t="str">
        <f>IF(COUNTIF(Data!$D$2:$D$97,'By Category'!$E119)=0,"",VLOOKUP('By Category'!$E119,Data!$D$2:$H$97,'By Category'!I$8,FALSE))</f>
        <v/>
      </c>
      <c r="J119" s="77" t="str">
        <f ca="1">IF(B119&lt;&gt;B118,B119,IF($D119="","",INDEX('Start List'!$D$15:$D$139,MATCH($D119,'Start List'!$B$15:$B$139,0))))</f>
        <v/>
      </c>
      <c r="K119" s="77" t="str">
        <f ca="1">IF($D119="","",INDEX('Start List'!$E$15:$E$139,MATCH($D119,'Start List'!$B$15:$B$139,0)))</f>
        <v/>
      </c>
      <c r="L119" s="77" t="str">
        <f ca="1">IF($D119="","",INDEX('Start List'!$H$15:$H$139,MATCH($D119,'Start List'!$B$15:$B$139,0)))</f>
        <v/>
      </c>
      <c r="M119" s="79" t="str">
        <f ca="1">IF($D119="","",INDEX('Start List'!$F$15:$F$139,MATCH($D119,'Start List'!$B$15:$B$139,0)))</f>
        <v/>
      </c>
      <c r="N119" s="80" t="str">
        <f ca="1">IF($D119="","",INDEX('Start List'!K$15:K$139,MATCH($D119,'Start List'!$B$15:$B$139,0)))</f>
        <v/>
      </c>
      <c r="O119" s="80" t="str">
        <f ca="1">IF($D119="","",INDEX('Start List'!L$15:L$139,MATCH($D119,'Start List'!$B$15:$B$139,0)))</f>
        <v/>
      </c>
      <c r="P119" s="80" t="str">
        <f ca="1">IF($D119="","",INDEX('Start List'!M$15:M$139,MATCH($D119,'Start List'!$B$15:$B$139,0)))</f>
        <v/>
      </c>
      <c r="Q119" s="80" t="str">
        <f ca="1">IF($D119="","",INDEX('Start List'!N$15:N$139,MATCH($D119,'Start List'!$B$15:$B$139,0)))</f>
        <v/>
      </c>
      <c r="R119" s="80" t="str">
        <f ca="1">IF($D119="","",INDEX('Start List'!O$15:O$139,MATCH($D119,'Start List'!$B$15:$B$139,0)))</f>
        <v/>
      </c>
      <c r="S119" s="80" t="str">
        <f ca="1">IF($D119="","",INDEX('Start List'!P$15:P$139,MATCH($D119,'Start List'!$B$15:$B$139,0)))</f>
        <v/>
      </c>
      <c r="T119" s="80" t="str">
        <f ca="1">IF($D119="","",INDEX('Start List'!Q$15:Q$139,MATCH($D119,'Start List'!$B$15:$B$139,0)))</f>
        <v/>
      </c>
      <c r="U119" s="80" t="str">
        <f ca="1">IF($D119="","",INDEX('Start List'!R$15:R$139,MATCH($D119,'Start List'!$B$15:$B$139,0)))</f>
        <v/>
      </c>
      <c r="V119" s="80" t="str">
        <f ca="1">IF($D119="","",INDEX('Start List'!S$15:S$139,MATCH($D119,'Start List'!$B$15:$B$139,0)))</f>
        <v/>
      </c>
      <c r="W119" s="80" t="str">
        <f ca="1">IF($D119="","",INDEX('Start List'!T$15:T$139,MATCH($D119,'Start List'!$B$15:$B$139,0)))</f>
        <v/>
      </c>
      <c r="X119" s="80" t="str">
        <f ca="1">IF($D119="","",INDEX('Start List'!U$15:U$139,MATCH($D119,'Start List'!$B$15:$B$139,0)))</f>
        <v/>
      </c>
      <c r="Y119" s="80" t="str">
        <f ca="1">IF($D119="","",INDEX('Start List'!V$15:V$139,MATCH($D119,'Start List'!$B$15:$B$139,0)))</f>
        <v/>
      </c>
      <c r="Z119" s="80" t="str">
        <f ca="1">IF($D119="","",INDEX('Start List'!W$15:W$139,MATCH($D119,'Start List'!$B$15:$B$139,0)))</f>
        <v/>
      </c>
      <c r="AA119" s="80" t="str">
        <f ca="1">IF($D119="","",INDEX('Start List'!X$15:X$139,MATCH($D119,'Start List'!$B$15:$B$139,0)))</f>
        <v/>
      </c>
      <c r="AB119" s="80" t="str">
        <f ca="1">IF($D119="","",INDEX('Start List'!Y$15:Y$139,MATCH($D119,'Start List'!$B$15:$B$139,0)))</f>
        <v/>
      </c>
    </row>
    <row r="120" spans="1:28" ht="12.75" x14ac:dyDescent="0.2">
      <c r="A120" s="59" t="str">
        <f>IF(OR(COUNT('Start List'!A:A)+COUNTIF('Start List'!$I$9:$I$14,"&lt;21")='By Category'!A119,A119=""),"",'By Category'!A119+1)</f>
        <v/>
      </c>
      <c r="B120" s="74" t="str">
        <f>IF(A120="","",VLOOKUP(SMALL('Start List'!$I$9:$I$139,A120),'Start List'!$I$9:$J$14,2,FALSE))</f>
        <v/>
      </c>
      <c r="C120" s="75" t="str">
        <f>IF(OR(B120="",COUNTIF($B$9:B120,B120)=1),"",COUNTIF($B$9:B120,B120)-1)</f>
        <v/>
      </c>
      <c r="D120" s="227" t="str">
        <f ca="1">IF(""=C120,"",LARGE(INDIRECT(VLOOKUP(B120,'Start List'!$J$9:$N$14,5,FALSE)),C120))</f>
        <v/>
      </c>
      <c r="E120" s="79" t="str">
        <f>IF(C120="","",VLOOKUP(B120,Data!$AK$2:$AN$7,4,FALSE)&amp;C120)</f>
        <v/>
      </c>
      <c r="F120" s="80" t="str">
        <f>IF(COUNTIF(Data!$D$2:$D$97,'By Category'!$E120)=0,"",VLOOKUP('By Category'!$E120,Data!$D$2:$H$97,'By Category'!F$8,FALSE))</f>
        <v/>
      </c>
      <c r="G120" s="80" t="str">
        <f>IF(COUNTIF(Data!$D$2:$D$97,'By Category'!$E120)=0,"",VLOOKUP('By Category'!$E120,Data!$D$2:$H$97,'By Category'!G$8,FALSE))</f>
        <v/>
      </c>
      <c r="H120" s="80" t="str">
        <f>IF(COUNTIF(Data!$D$2:$D$97,'By Category'!$E120)=0,"",VLOOKUP('By Category'!$E120,Data!$D$2:$H$97,'By Category'!H$8,FALSE))</f>
        <v/>
      </c>
      <c r="I120" s="80" t="str">
        <f>IF(COUNTIF(Data!$D$2:$D$97,'By Category'!$E120)=0,"",VLOOKUP('By Category'!$E120,Data!$D$2:$H$97,'By Category'!I$8,FALSE))</f>
        <v/>
      </c>
      <c r="J120" s="77" t="str">
        <f ca="1">IF(B120&lt;&gt;B119,B120,IF($D120="","",INDEX('Start List'!$D$15:$D$139,MATCH($D120,'Start List'!$B$15:$B$139,0))))</f>
        <v/>
      </c>
      <c r="K120" s="77" t="str">
        <f ca="1">IF($D120="","",INDEX('Start List'!$E$15:$E$139,MATCH($D120,'Start List'!$B$15:$B$139,0)))</f>
        <v/>
      </c>
      <c r="L120" s="77" t="str">
        <f ca="1">IF($D120="","",INDEX('Start List'!$H$15:$H$139,MATCH($D120,'Start List'!$B$15:$B$139,0)))</f>
        <v/>
      </c>
      <c r="M120" s="79" t="str">
        <f ca="1">IF($D120="","",INDEX('Start List'!$F$15:$F$139,MATCH($D120,'Start List'!$B$15:$B$139,0)))</f>
        <v/>
      </c>
      <c r="N120" s="80" t="str">
        <f ca="1">IF($D120="","",INDEX('Start List'!K$15:K$139,MATCH($D120,'Start List'!$B$15:$B$139,0)))</f>
        <v/>
      </c>
      <c r="O120" s="80" t="str">
        <f ca="1">IF($D120="","",INDEX('Start List'!L$15:L$139,MATCH($D120,'Start List'!$B$15:$B$139,0)))</f>
        <v/>
      </c>
      <c r="P120" s="80" t="str">
        <f ca="1">IF($D120="","",INDEX('Start List'!M$15:M$139,MATCH($D120,'Start List'!$B$15:$B$139,0)))</f>
        <v/>
      </c>
      <c r="Q120" s="80" t="str">
        <f ca="1">IF($D120="","",INDEX('Start List'!N$15:N$139,MATCH($D120,'Start List'!$B$15:$B$139,0)))</f>
        <v/>
      </c>
      <c r="R120" s="80" t="str">
        <f ca="1">IF($D120="","",INDEX('Start List'!O$15:O$139,MATCH($D120,'Start List'!$B$15:$B$139,0)))</f>
        <v/>
      </c>
      <c r="S120" s="80" t="str">
        <f ca="1">IF($D120="","",INDEX('Start List'!P$15:P$139,MATCH($D120,'Start List'!$B$15:$B$139,0)))</f>
        <v/>
      </c>
      <c r="T120" s="80" t="str">
        <f ca="1">IF($D120="","",INDEX('Start List'!Q$15:Q$139,MATCH($D120,'Start List'!$B$15:$B$139,0)))</f>
        <v/>
      </c>
      <c r="U120" s="80" t="str">
        <f ca="1">IF($D120="","",INDEX('Start List'!R$15:R$139,MATCH($D120,'Start List'!$B$15:$B$139,0)))</f>
        <v/>
      </c>
      <c r="V120" s="80" t="str">
        <f ca="1">IF($D120="","",INDEX('Start List'!S$15:S$139,MATCH($D120,'Start List'!$B$15:$B$139,0)))</f>
        <v/>
      </c>
      <c r="W120" s="80" t="str">
        <f ca="1">IF($D120="","",INDEX('Start List'!T$15:T$139,MATCH($D120,'Start List'!$B$15:$B$139,0)))</f>
        <v/>
      </c>
      <c r="X120" s="80" t="str">
        <f ca="1">IF($D120="","",INDEX('Start List'!U$15:U$139,MATCH($D120,'Start List'!$B$15:$B$139,0)))</f>
        <v/>
      </c>
      <c r="Y120" s="80" t="str">
        <f ca="1">IF($D120="","",INDEX('Start List'!V$15:V$139,MATCH($D120,'Start List'!$B$15:$B$139,0)))</f>
        <v/>
      </c>
      <c r="Z120" s="80" t="str">
        <f ca="1">IF($D120="","",INDEX('Start List'!W$15:W$139,MATCH($D120,'Start List'!$B$15:$B$139,0)))</f>
        <v/>
      </c>
      <c r="AA120" s="80" t="str">
        <f ca="1">IF($D120="","",INDEX('Start List'!X$15:X$139,MATCH($D120,'Start List'!$B$15:$B$139,0)))</f>
        <v/>
      </c>
      <c r="AB120" s="80" t="str">
        <f ca="1">IF($D120="","",INDEX('Start List'!Y$15:Y$139,MATCH($D120,'Start List'!$B$15:$B$139,0)))</f>
        <v/>
      </c>
    </row>
    <row r="121" spans="1:28" ht="12.75" x14ac:dyDescent="0.2">
      <c r="A121" s="59" t="str">
        <f>IF(OR(COUNT('Start List'!A:A)+COUNTIF('Start List'!$I$9:$I$14,"&lt;21")='By Category'!A120,A120=""),"",'By Category'!A120+1)</f>
        <v/>
      </c>
      <c r="B121" s="74" t="str">
        <f>IF(A121="","",VLOOKUP(SMALL('Start List'!$I$9:$I$139,A121),'Start List'!$I$9:$J$14,2,FALSE))</f>
        <v/>
      </c>
      <c r="C121" s="75" t="str">
        <f>IF(OR(B121="",COUNTIF($B$9:B121,B121)=1),"",COUNTIF($B$9:B121,B121)-1)</f>
        <v/>
      </c>
      <c r="D121" s="227" t="str">
        <f ca="1">IF(""=C121,"",LARGE(INDIRECT(VLOOKUP(B121,'Start List'!$J$9:$N$14,5,FALSE)),C121))</f>
        <v/>
      </c>
      <c r="E121" s="79" t="str">
        <f>IF(C121="","",VLOOKUP(B121,Data!$AK$2:$AN$7,4,FALSE)&amp;C121)</f>
        <v/>
      </c>
      <c r="F121" s="80" t="str">
        <f>IF(COUNTIF(Data!$D$2:$D$97,'By Category'!$E121)=0,"",VLOOKUP('By Category'!$E121,Data!$D$2:$H$97,'By Category'!F$8,FALSE))</f>
        <v/>
      </c>
      <c r="G121" s="80" t="str">
        <f>IF(COUNTIF(Data!$D$2:$D$97,'By Category'!$E121)=0,"",VLOOKUP('By Category'!$E121,Data!$D$2:$H$97,'By Category'!G$8,FALSE))</f>
        <v/>
      </c>
      <c r="H121" s="80" t="str">
        <f>IF(COUNTIF(Data!$D$2:$D$97,'By Category'!$E121)=0,"",VLOOKUP('By Category'!$E121,Data!$D$2:$H$97,'By Category'!H$8,FALSE))</f>
        <v/>
      </c>
      <c r="I121" s="80" t="str">
        <f>IF(COUNTIF(Data!$D$2:$D$97,'By Category'!$E121)=0,"",VLOOKUP('By Category'!$E121,Data!$D$2:$H$97,'By Category'!I$8,FALSE))</f>
        <v/>
      </c>
      <c r="J121" s="77" t="str">
        <f ca="1">IF(B121&lt;&gt;B120,B121,IF($D121="","",INDEX('Start List'!$D$15:$D$139,MATCH($D121,'Start List'!$B$15:$B$139,0))))</f>
        <v/>
      </c>
      <c r="K121" s="77" t="str">
        <f ca="1">IF($D121="","",INDEX('Start List'!$E$15:$E$139,MATCH($D121,'Start List'!$B$15:$B$139,0)))</f>
        <v/>
      </c>
      <c r="L121" s="77" t="str">
        <f ca="1">IF($D121="","",INDEX('Start List'!$H$15:$H$139,MATCH($D121,'Start List'!$B$15:$B$139,0)))</f>
        <v/>
      </c>
      <c r="M121" s="79" t="str">
        <f ca="1">IF($D121="","",INDEX('Start List'!$F$15:$F$139,MATCH($D121,'Start List'!$B$15:$B$139,0)))</f>
        <v/>
      </c>
      <c r="N121" s="80" t="str">
        <f ca="1">IF($D121="","",INDEX('Start List'!K$15:K$139,MATCH($D121,'Start List'!$B$15:$B$139,0)))</f>
        <v/>
      </c>
      <c r="O121" s="80" t="str">
        <f ca="1">IF($D121="","",INDEX('Start List'!L$15:L$139,MATCH($D121,'Start List'!$B$15:$B$139,0)))</f>
        <v/>
      </c>
      <c r="P121" s="80" t="str">
        <f ca="1">IF($D121="","",INDEX('Start List'!M$15:M$139,MATCH($D121,'Start List'!$B$15:$B$139,0)))</f>
        <v/>
      </c>
      <c r="Q121" s="80" t="str">
        <f ca="1">IF($D121="","",INDEX('Start List'!N$15:N$139,MATCH($D121,'Start List'!$B$15:$B$139,0)))</f>
        <v/>
      </c>
      <c r="R121" s="80" t="str">
        <f ca="1">IF($D121="","",INDEX('Start List'!O$15:O$139,MATCH($D121,'Start List'!$B$15:$B$139,0)))</f>
        <v/>
      </c>
      <c r="S121" s="80" t="str">
        <f ca="1">IF($D121="","",INDEX('Start List'!P$15:P$139,MATCH($D121,'Start List'!$B$15:$B$139,0)))</f>
        <v/>
      </c>
      <c r="T121" s="80" t="str">
        <f ca="1">IF($D121="","",INDEX('Start List'!Q$15:Q$139,MATCH($D121,'Start List'!$B$15:$B$139,0)))</f>
        <v/>
      </c>
      <c r="U121" s="80" t="str">
        <f ca="1">IF($D121="","",INDEX('Start List'!R$15:R$139,MATCH($D121,'Start List'!$B$15:$B$139,0)))</f>
        <v/>
      </c>
      <c r="V121" s="80" t="str">
        <f ca="1">IF($D121="","",INDEX('Start List'!S$15:S$139,MATCH($D121,'Start List'!$B$15:$B$139,0)))</f>
        <v/>
      </c>
      <c r="W121" s="80" t="str">
        <f ca="1">IF($D121="","",INDEX('Start List'!T$15:T$139,MATCH($D121,'Start List'!$B$15:$B$139,0)))</f>
        <v/>
      </c>
      <c r="X121" s="80" t="str">
        <f ca="1">IF($D121="","",INDEX('Start List'!U$15:U$139,MATCH($D121,'Start List'!$B$15:$B$139,0)))</f>
        <v/>
      </c>
      <c r="Y121" s="80" t="str">
        <f ca="1">IF($D121="","",INDEX('Start List'!V$15:V$139,MATCH($D121,'Start List'!$B$15:$B$139,0)))</f>
        <v/>
      </c>
      <c r="Z121" s="80" t="str">
        <f ca="1">IF($D121="","",INDEX('Start List'!W$15:W$139,MATCH($D121,'Start List'!$B$15:$B$139,0)))</f>
        <v/>
      </c>
      <c r="AA121" s="80" t="str">
        <f ca="1">IF($D121="","",INDEX('Start List'!X$15:X$139,MATCH($D121,'Start List'!$B$15:$B$139,0)))</f>
        <v/>
      </c>
      <c r="AB121" s="80" t="str">
        <f ca="1">IF($D121="","",INDEX('Start List'!Y$15:Y$139,MATCH($D121,'Start List'!$B$15:$B$139,0)))</f>
        <v/>
      </c>
    </row>
    <row r="122" spans="1:28" ht="12.75" x14ac:dyDescent="0.2">
      <c r="A122" s="59" t="str">
        <f>IF(OR(COUNT('Start List'!A:A)+COUNTIF('Start List'!$I$9:$I$14,"&lt;21")='By Category'!A121,A121=""),"",'By Category'!A121+1)</f>
        <v/>
      </c>
      <c r="B122" s="74" t="str">
        <f>IF(A122="","",VLOOKUP(SMALL('Start List'!$I$9:$I$139,A122),'Start List'!$I$9:$J$14,2,FALSE))</f>
        <v/>
      </c>
      <c r="C122" s="75" t="str">
        <f>IF(OR(B122="",COUNTIF($B$9:B122,B122)=1),"",COUNTIF($B$9:B122,B122)-1)</f>
        <v/>
      </c>
      <c r="D122" s="227" t="str">
        <f ca="1">IF(""=C122,"",LARGE(INDIRECT(VLOOKUP(B122,'Start List'!$J$9:$N$14,5,FALSE)),C122))</f>
        <v/>
      </c>
      <c r="E122" s="79" t="str">
        <f>IF(C122="","",VLOOKUP(B122,Data!$AK$2:$AN$7,4,FALSE)&amp;C122)</f>
        <v/>
      </c>
      <c r="F122" s="80" t="str">
        <f>IF(COUNTIF(Data!$D$2:$D$97,'By Category'!$E122)=0,"",VLOOKUP('By Category'!$E122,Data!$D$2:$H$97,'By Category'!F$8,FALSE))</f>
        <v/>
      </c>
      <c r="G122" s="80" t="str">
        <f>IF(COUNTIF(Data!$D$2:$D$97,'By Category'!$E122)=0,"",VLOOKUP('By Category'!$E122,Data!$D$2:$H$97,'By Category'!G$8,FALSE))</f>
        <v/>
      </c>
      <c r="H122" s="80" t="str">
        <f>IF(COUNTIF(Data!$D$2:$D$97,'By Category'!$E122)=0,"",VLOOKUP('By Category'!$E122,Data!$D$2:$H$97,'By Category'!H$8,FALSE))</f>
        <v/>
      </c>
      <c r="I122" s="80" t="str">
        <f>IF(COUNTIF(Data!$D$2:$D$97,'By Category'!$E122)=0,"",VLOOKUP('By Category'!$E122,Data!$D$2:$H$97,'By Category'!I$8,FALSE))</f>
        <v/>
      </c>
      <c r="J122" s="77" t="str">
        <f ca="1">IF(B122&lt;&gt;B121,B122,IF($D122="","",INDEX('Start List'!$D$15:$D$139,MATCH($D122,'Start List'!$B$15:$B$139,0))))</f>
        <v/>
      </c>
      <c r="K122" s="77" t="str">
        <f ca="1">IF($D122="","",INDEX('Start List'!$E$15:$E$139,MATCH($D122,'Start List'!$B$15:$B$139,0)))</f>
        <v/>
      </c>
      <c r="L122" s="77" t="str">
        <f ca="1">IF($D122="","",INDEX('Start List'!$H$15:$H$139,MATCH($D122,'Start List'!$B$15:$B$139,0)))</f>
        <v/>
      </c>
      <c r="M122" s="79" t="str">
        <f ca="1">IF($D122="","",INDEX('Start List'!$F$15:$F$139,MATCH($D122,'Start List'!$B$15:$B$139,0)))</f>
        <v/>
      </c>
      <c r="N122" s="80" t="str">
        <f ca="1">IF($D122="","",INDEX('Start List'!K$15:K$139,MATCH($D122,'Start List'!$B$15:$B$139,0)))</f>
        <v/>
      </c>
      <c r="O122" s="80" t="str">
        <f ca="1">IF($D122="","",INDEX('Start List'!L$15:L$139,MATCH($D122,'Start List'!$B$15:$B$139,0)))</f>
        <v/>
      </c>
      <c r="P122" s="80" t="str">
        <f ca="1">IF($D122="","",INDEX('Start List'!M$15:M$139,MATCH($D122,'Start List'!$B$15:$B$139,0)))</f>
        <v/>
      </c>
      <c r="Q122" s="80" t="str">
        <f ca="1">IF($D122="","",INDEX('Start List'!N$15:N$139,MATCH($D122,'Start List'!$B$15:$B$139,0)))</f>
        <v/>
      </c>
      <c r="R122" s="80" t="str">
        <f ca="1">IF($D122="","",INDEX('Start List'!O$15:O$139,MATCH($D122,'Start List'!$B$15:$B$139,0)))</f>
        <v/>
      </c>
      <c r="S122" s="80" t="str">
        <f ca="1">IF($D122="","",INDEX('Start List'!P$15:P$139,MATCH($D122,'Start List'!$B$15:$B$139,0)))</f>
        <v/>
      </c>
      <c r="T122" s="80" t="str">
        <f ca="1">IF($D122="","",INDEX('Start List'!Q$15:Q$139,MATCH($D122,'Start List'!$B$15:$B$139,0)))</f>
        <v/>
      </c>
      <c r="U122" s="80" t="str">
        <f ca="1">IF($D122="","",INDEX('Start List'!R$15:R$139,MATCH($D122,'Start List'!$B$15:$B$139,0)))</f>
        <v/>
      </c>
      <c r="V122" s="80" t="str">
        <f ca="1">IF($D122="","",INDEX('Start List'!S$15:S$139,MATCH($D122,'Start List'!$B$15:$B$139,0)))</f>
        <v/>
      </c>
      <c r="W122" s="80" t="str">
        <f ca="1">IF($D122="","",INDEX('Start List'!T$15:T$139,MATCH($D122,'Start List'!$B$15:$B$139,0)))</f>
        <v/>
      </c>
      <c r="X122" s="80" t="str">
        <f ca="1">IF($D122="","",INDEX('Start List'!U$15:U$139,MATCH($D122,'Start List'!$B$15:$B$139,0)))</f>
        <v/>
      </c>
      <c r="Y122" s="80" t="str">
        <f ca="1">IF($D122="","",INDEX('Start List'!V$15:V$139,MATCH($D122,'Start List'!$B$15:$B$139,0)))</f>
        <v/>
      </c>
      <c r="Z122" s="80" t="str">
        <f ca="1">IF($D122="","",INDEX('Start List'!W$15:W$139,MATCH($D122,'Start List'!$B$15:$B$139,0)))</f>
        <v/>
      </c>
      <c r="AA122" s="80" t="str">
        <f ca="1">IF($D122="","",INDEX('Start List'!X$15:X$139,MATCH($D122,'Start List'!$B$15:$B$139,0)))</f>
        <v/>
      </c>
      <c r="AB122" s="80" t="str">
        <f ca="1">IF($D122="","",INDEX('Start List'!Y$15:Y$139,MATCH($D122,'Start List'!$B$15:$B$139,0)))</f>
        <v/>
      </c>
    </row>
    <row r="123" spans="1:28" ht="12.75" x14ac:dyDescent="0.2">
      <c r="A123" s="59" t="str">
        <f>IF(OR(COUNT('Start List'!A:A)+COUNTIF('Start List'!$I$9:$I$14,"&lt;21")='By Category'!A122,A122=""),"",'By Category'!A122+1)</f>
        <v/>
      </c>
      <c r="B123" s="74" t="str">
        <f>IF(A123="","",VLOOKUP(SMALL('Start List'!$I$9:$I$139,A123),'Start List'!$I$9:$J$14,2,FALSE))</f>
        <v/>
      </c>
      <c r="C123" s="75" t="str">
        <f>IF(OR(B123="",COUNTIF($B$9:B123,B123)=1),"",COUNTIF($B$9:B123,B123)-1)</f>
        <v/>
      </c>
      <c r="D123" s="227" t="str">
        <f ca="1">IF(""=C123,"",LARGE(INDIRECT(VLOOKUP(B123,'Start List'!$J$9:$N$14,5,FALSE)),C123))</f>
        <v/>
      </c>
      <c r="E123" s="79" t="str">
        <f>IF(C123="","",VLOOKUP(B123,Data!$AK$2:$AN$7,4,FALSE)&amp;C123)</f>
        <v/>
      </c>
      <c r="F123" s="80" t="str">
        <f>IF(COUNTIF(Data!$D$2:$D$97,'By Category'!$E123)=0,"",VLOOKUP('By Category'!$E123,Data!$D$2:$H$97,'By Category'!F$8,FALSE))</f>
        <v/>
      </c>
      <c r="G123" s="80" t="str">
        <f>IF(COUNTIF(Data!$D$2:$D$97,'By Category'!$E123)=0,"",VLOOKUP('By Category'!$E123,Data!$D$2:$H$97,'By Category'!G$8,FALSE))</f>
        <v/>
      </c>
      <c r="H123" s="80" t="str">
        <f>IF(COUNTIF(Data!$D$2:$D$97,'By Category'!$E123)=0,"",VLOOKUP('By Category'!$E123,Data!$D$2:$H$97,'By Category'!H$8,FALSE))</f>
        <v/>
      </c>
      <c r="I123" s="80" t="str">
        <f>IF(COUNTIF(Data!$D$2:$D$97,'By Category'!$E123)=0,"",VLOOKUP('By Category'!$E123,Data!$D$2:$H$97,'By Category'!I$8,FALSE))</f>
        <v/>
      </c>
      <c r="J123" s="77" t="str">
        <f ca="1">IF(B123&lt;&gt;B122,B123,IF($D123="","",INDEX('Start List'!$D$15:$D$139,MATCH($D123,'Start List'!$B$15:$B$139,0))))</f>
        <v/>
      </c>
      <c r="K123" s="77" t="str">
        <f ca="1">IF($D123="","",INDEX('Start List'!$E$15:$E$139,MATCH($D123,'Start List'!$B$15:$B$139,0)))</f>
        <v/>
      </c>
      <c r="L123" s="77" t="str">
        <f ca="1">IF($D123="","",INDEX('Start List'!$H$15:$H$139,MATCH($D123,'Start List'!$B$15:$B$139,0)))</f>
        <v/>
      </c>
      <c r="M123" s="79" t="str">
        <f ca="1">IF($D123="","",INDEX('Start List'!$F$15:$F$139,MATCH($D123,'Start List'!$B$15:$B$139,0)))</f>
        <v/>
      </c>
      <c r="N123" s="80" t="str">
        <f ca="1">IF($D123="","",INDEX('Start List'!K$15:K$139,MATCH($D123,'Start List'!$B$15:$B$139,0)))</f>
        <v/>
      </c>
      <c r="O123" s="80" t="str">
        <f ca="1">IF($D123="","",INDEX('Start List'!L$15:L$139,MATCH($D123,'Start List'!$B$15:$B$139,0)))</f>
        <v/>
      </c>
      <c r="P123" s="80" t="str">
        <f ca="1">IF($D123="","",INDEX('Start List'!M$15:M$139,MATCH($D123,'Start List'!$B$15:$B$139,0)))</f>
        <v/>
      </c>
      <c r="Q123" s="80" t="str">
        <f ca="1">IF($D123="","",INDEX('Start List'!N$15:N$139,MATCH($D123,'Start List'!$B$15:$B$139,0)))</f>
        <v/>
      </c>
      <c r="R123" s="80" t="str">
        <f ca="1">IF($D123="","",INDEX('Start List'!O$15:O$139,MATCH($D123,'Start List'!$B$15:$B$139,0)))</f>
        <v/>
      </c>
      <c r="S123" s="80" t="str">
        <f ca="1">IF($D123="","",INDEX('Start List'!P$15:P$139,MATCH($D123,'Start List'!$B$15:$B$139,0)))</f>
        <v/>
      </c>
      <c r="T123" s="80" t="str">
        <f ca="1">IF($D123="","",INDEX('Start List'!Q$15:Q$139,MATCH($D123,'Start List'!$B$15:$B$139,0)))</f>
        <v/>
      </c>
      <c r="U123" s="80" t="str">
        <f ca="1">IF($D123="","",INDEX('Start List'!R$15:R$139,MATCH($D123,'Start List'!$B$15:$B$139,0)))</f>
        <v/>
      </c>
      <c r="V123" s="80" t="str">
        <f ca="1">IF($D123="","",INDEX('Start List'!S$15:S$139,MATCH($D123,'Start List'!$B$15:$B$139,0)))</f>
        <v/>
      </c>
      <c r="W123" s="80" t="str">
        <f ca="1">IF($D123="","",INDEX('Start List'!T$15:T$139,MATCH($D123,'Start List'!$B$15:$B$139,0)))</f>
        <v/>
      </c>
      <c r="X123" s="80" t="str">
        <f ca="1">IF($D123="","",INDEX('Start List'!U$15:U$139,MATCH($D123,'Start List'!$B$15:$B$139,0)))</f>
        <v/>
      </c>
      <c r="Y123" s="80" t="str">
        <f ca="1">IF($D123="","",INDEX('Start List'!V$15:V$139,MATCH($D123,'Start List'!$B$15:$B$139,0)))</f>
        <v/>
      </c>
      <c r="Z123" s="80" t="str">
        <f ca="1">IF($D123="","",INDEX('Start List'!W$15:W$139,MATCH($D123,'Start List'!$B$15:$B$139,0)))</f>
        <v/>
      </c>
      <c r="AA123" s="80" t="str">
        <f ca="1">IF($D123="","",INDEX('Start List'!X$15:X$139,MATCH($D123,'Start List'!$B$15:$B$139,0)))</f>
        <v/>
      </c>
      <c r="AB123" s="80" t="str">
        <f ca="1">IF($D123="","",INDEX('Start List'!Y$15:Y$139,MATCH($D123,'Start List'!$B$15:$B$139,0)))</f>
        <v/>
      </c>
    </row>
    <row r="124" spans="1:28" ht="12.75" x14ac:dyDescent="0.2">
      <c r="A124" s="59" t="str">
        <f>IF(OR(COUNT('Start List'!A:A)+COUNTIF('Start List'!$I$9:$I$14,"&lt;21")='By Category'!A123,A123=""),"",'By Category'!A123+1)</f>
        <v/>
      </c>
      <c r="B124" s="74" t="str">
        <f>IF(A124="","",VLOOKUP(SMALL('Start List'!$I$9:$I$139,A124),'Start List'!$I$9:$J$14,2,FALSE))</f>
        <v/>
      </c>
      <c r="C124" s="75" t="str">
        <f>IF(OR(B124="",COUNTIF($B$9:B124,B124)=1),"",COUNTIF($B$9:B124,B124)-1)</f>
        <v/>
      </c>
      <c r="D124" s="227" t="str">
        <f ca="1">IF(""=C124,"",LARGE(INDIRECT(VLOOKUP(B124,'Start List'!$J$9:$N$14,5,FALSE)),C124))</f>
        <v/>
      </c>
      <c r="E124" s="79" t="str">
        <f>IF(C124="","",VLOOKUP(B124,Data!$AK$2:$AN$7,4,FALSE)&amp;C124)</f>
        <v/>
      </c>
      <c r="F124" s="80" t="str">
        <f>IF(COUNTIF(Data!$D$2:$D$97,'By Category'!$E124)=0,"",VLOOKUP('By Category'!$E124,Data!$D$2:$H$97,'By Category'!F$8,FALSE))</f>
        <v/>
      </c>
      <c r="G124" s="80" t="str">
        <f>IF(COUNTIF(Data!$D$2:$D$97,'By Category'!$E124)=0,"",VLOOKUP('By Category'!$E124,Data!$D$2:$H$97,'By Category'!G$8,FALSE))</f>
        <v/>
      </c>
      <c r="H124" s="80" t="str">
        <f>IF(COUNTIF(Data!$D$2:$D$97,'By Category'!$E124)=0,"",VLOOKUP('By Category'!$E124,Data!$D$2:$H$97,'By Category'!H$8,FALSE))</f>
        <v/>
      </c>
      <c r="I124" s="80" t="str">
        <f>IF(COUNTIF(Data!$D$2:$D$97,'By Category'!$E124)=0,"",VLOOKUP('By Category'!$E124,Data!$D$2:$H$97,'By Category'!I$8,FALSE))</f>
        <v/>
      </c>
      <c r="J124" s="77" t="str">
        <f ca="1">IF(B124&lt;&gt;B123,B124,IF($D124="","",INDEX('Start List'!$D$15:$D$139,MATCH($D124,'Start List'!$B$15:$B$139,0))))</f>
        <v/>
      </c>
      <c r="K124" s="77" t="str">
        <f ca="1">IF($D124="","",INDEX('Start List'!$E$15:$E$139,MATCH($D124,'Start List'!$B$15:$B$139,0)))</f>
        <v/>
      </c>
      <c r="L124" s="77" t="str">
        <f ca="1">IF($D124="","",INDEX('Start List'!$H$15:$H$139,MATCH($D124,'Start List'!$B$15:$B$139,0)))</f>
        <v/>
      </c>
      <c r="M124" s="79" t="str">
        <f ca="1">IF($D124="","",INDEX('Start List'!$F$15:$F$139,MATCH($D124,'Start List'!$B$15:$B$139,0)))</f>
        <v/>
      </c>
      <c r="N124" s="80" t="str">
        <f ca="1">IF($D124="","",INDEX('Start List'!K$15:K$139,MATCH($D124,'Start List'!$B$15:$B$139,0)))</f>
        <v/>
      </c>
      <c r="O124" s="80" t="str">
        <f ca="1">IF($D124="","",INDEX('Start List'!L$15:L$139,MATCH($D124,'Start List'!$B$15:$B$139,0)))</f>
        <v/>
      </c>
      <c r="P124" s="80" t="str">
        <f ca="1">IF($D124="","",INDEX('Start List'!M$15:M$139,MATCH($D124,'Start List'!$B$15:$B$139,0)))</f>
        <v/>
      </c>
      <c r="Q124" s="80" t="str">
        <f ca="1">IF($D124="","",INDEX('Start List'!N$15:N$139,MATCH($D124,'Start List'!$B$15:$B$139,0)))</f>
        <v/>
      </c>
      <c r="R124" s="80" t="str">
        <f ca="1">IF($D124="","",INDEX('Start List'!O$15:O$139,MATCH($D124,'Start List'!$B$15:$B$139,0)))</f>
        <v/>
      </c>
      <c r="S124" s="80" t="str">
        <f ca="1">IF($D124="","",INDEX('Start List'!P$15:P$139,MATCH($D124,'Start List'!$B$15:$B$139,0)))</f>
        <v/>
      </c>
      <c r="T124" s="80" t="str">
        <f ca="1">IF($D124="","",INDEX('Start List'!Q$15:Q$139,MATCH($D124,'Start List'!$B$15:$B$139,0)))</f>
        <v/>
      </c>
      <c r="U124" s="80" t="str">
        <f ca="1">IF($D124="","",INDEX('Start List'!R$15:R$139,MATCH($D124,'Start List'!$B$15:$B$139,0)))</f>
        <v/>
      </c>
      <c r="V124" s="80" t="str">
        <f ca="1">IF($D124="","",INDEX('Start List'!S$15:S$139,MATCH($D124,'Start List'!$B$15:$B$139,0)))</f>
        <v/>
      </c>
      <c r="W124" s="80" t="str">
        <f ca="1">IF($D124="","",INDEX('Start List'!T$15:T$139,MATCH($D124,'Start List'!$B$15:$B$139,0)))</f>
        <v/>
      </c>
      <c r="X124" s="80" t="str">
        <f ca="1">IF($D124="","",INDEX('Start List'!U$15:U$139,MATCH($D124,'Start List'!$B$15:$B$139,0)))</f>
        <v/>
      </c>
      <c r="Y124" s="80" t="str">
        <f ca="1">IF($D124="","",INDEX('Start List'!V$15:V$139,MATCH($D124,'Start List'!$B$15:$B$139,0)))</f>
        <v/>
      </c>
      <c r="Z124" s="80" t="str">
        <f ca="1">IF($D124="","",INDEX('Start List'!W$15:W$139,MATCH($D124,'Start List'!$B$15:$B$139,0)))</f>
        <v/>
      </c>
      <c r="AA124" s="80" t="str">
        <f ca="1">IF($D124="","",INDEX('Start List'!X$15:X$139,MATCH($D124,'Start List'!$B$15:$B$139,0)))</f>
        <v/>
      </c>
      <c r="AB124" s="80" t="str">
        <f ca="1">IF($D124="","",INDEX('Start List'!Y$15:Y$139,MATCH($D124,'Start List'!$B$15:$B$139,0)))</f>
        <v/>
      </c>
    </row>
    <row r="125" spans="1:28" ht="12.75" x14ac:dyDescent="0.2">
      <c r="A125" s="59" t="str">
        <f>IF(OR(COUNT('Start List'!A:A)+COUNTIF('Start List'!$I$9:$I$14,"&lt;21")='By Category'!A124,A124=""),"",'By Category'!A124+1)</f>
        <v/>
      </c>
      <c r="B125" s="74" t="str">
        <f>IF(A125="","",VLOOKUP(SMALL('Start List'!$I$9:$I$139,A125),'Start List'!$I$9:$J$14,2,FALSE))</f>
        <v/>
      </c>
      <c r="C125" s="75" t="str">
        <f>IF(OR(B125="",COUNTIF($B$9:B125,B125)=1),"",COUNTIF($B$9:B125,B125)-1)</f>
        <v/>
      </c>
      <c r="D125" s="227" t="str">
        <f ca="1">IF(""=C125,"",LARGE(INDIRECT(VLOOKUP(B125,'Start List'!$J$9:$N$14,5,FALSE)),C125))</f>
        <v/>
      </c>
      <c r="E125" s="79" t="str">
        <f>IF(C125="","",VLOOKUP(B125,Data!$AK$2:$AN$7,4,FALSE)&amp;C125)</f>
        <v/>
      </c>
      <c r="F125" s="80" t="str">
        <f>IF(COUNTIF(Data!$D$2:$D$97,'By Category'!$E125)=0,"",VLOOKUP('By Category'!$E125,Data!$D$2:$H$97,'By Category'!F$8,FALSE))</f>
        <v/>
      </c>
      <c r="G125" s="80" t="str">
        <f>IF(COUNTIF(Data!$D$2:$D$97,'By Category'!$E125)=0,"",VLOOKUP('By Category'!$E125,Data!$D$2:$H$97,'By Category'!G$8,FALSE))</f>
        <v/>
      </c>
      <c r="H125" s="80" t="str">
        <f>IF(COUNTIF(Data!$D$2:$D$97,'By Category'!$E125)=0,"",VLOOKUP('By Category'!$E125,Data!$D$2:$H$97,'By Category'!H$8,FALSE))</f>
        <v/>
      </c>
      <c r="I125" s="80" t="str">
        <f>IF(COUNTIF(Data!$D$2:$D$97,'By Category'!$E125)=0,"",VLOOKUP('By Category'!$E125,Data!$D$2:$H$97,'By Category'!I$8,FALSE))</f>
        <v/>
      </c>
      <c r="J125" s="77" t="str">
        <f ca="1">IF(B125&lt;&gt;B124,B125,IF($D125="","",INDEX('Start List'!$D$15:$D$139,MATCH($D125,'Start List'!$B$15:$B$139,0))))</f>
        <v/>
      </c>
      <c r="K125" s="77" t="str">
        <f ca="1">IF($D125="","",INDEX('Start List'!$E$15:$E$139,MATCH($D125,'Start List'!$B$15:$B$139,0)))</f>
        <v/>
      </c>
      <c r="L125" s="77" t="str">
        <f ca="1">IF($D125="","",INDEX('Start List'!$H$15:$H$139,MATCH($D125,'Start List'!$B$15:$B$139,0)))</f>
        <v/>
      </c>
      <c r="M125" s="79" t="str">
        <f ca="1">IF($D125="","",INDEX('Start List'!$F$15:$F$139,MATCH($D125,'Start List'!$B$15:$B$139,0)))</f>
        <v/>
      </c>
      <c r="N125" s="80" t="str">
        <f ca="1">IF($D125="","",INDEX('Start List'!K$15:K$139,MATCH($D125,'Start List'!$B$15:$B$139,0)))</f>
        <v/>
      </c>
      <c r="O125" s="80" t="str">
        <f ca="1">IF($D125="","",INDEX('Start List'!L$15:L$139,MATCH($D125,'Start List'!$B$15:$B$139,0)))</f>
        <v/>
      </c>
      <c r="P125" s="80" t="str">
        <f ca="1">IF($D125="","",INDEX('Start List'!M$15:M$139,MATCH($D125,'Start List'!$B$15:$B$139,0)))</f>
        <v/>
      </c>
      <c r="Q125" s="80" t="str">
        <f ca="1">IF($D125="","",INDEX('Start List'!N$15:N$139,MATCH($D125,'Start List'!$B$15:$B$139,0)))</f>
        <v/>
      </c>
      <c r="R125" s="80" t="str">
        <f ca="1">IF($D125="","",INDEX('Start List'!O$15:O$139,MATCH($D125,'Start List'!$B$15:$B$139,0)))</f>
        <v/>
      </c>
      <c r="S125" s="80" t="str">
        <f ca="1">IF($D125="","",INDEX('Start List'!P$15:P$139,MATCH($D125,'Start List'!$B$15:$B$139,0)))</f>
        <v/>
      </c>
      <c r="T125" s="80" t="str">
        <f ca="1">IF($D125="","",INDEX('Start List'!Q$15:Q$139,MATCH($D125,'Start List'!$B$15:$B$139,0)))</f>
        <v/>
      </c>
      <c r="U125" s="80" t="str">
        <f ca="1">IF($D125="","",INDEX('Start List'!R$15:R$139,MATCH($D125,'Start List'!$B$15:$B$139,0)))</f>
        <v/>
      </c>
      <c r="V125" s="80" t="str">
        <f ca="1">IF($D125="","",INDEX('Start List'!S$15:S$139,MATCH($D125,'Start List'!$B$15:$B$139,0)))</f>
        <v/>
      </c>
      <c r="W125" s="80" t="str">
        <f ca="1">IF($D125="","",INDEX('Start List'!T$15:T$139,MATCH($D125,'Start List'!$B$15:$B$139,0)))</f>
        <v/>
      </c>
      <c r="X125" s="80" t="str">
        <f ca="1">IF($D125="","",INDEX('Start List'!U$15:U$139,MATCH($D125,'Start List'!$B$15:$B$139,0)))</f>
        <v/>
      </c>
      <c r="Y125" s="80" t="str">
        <f ca="1">IF($D125="","",INDEX('Start List'!V$15:V$139,MATCH($D125,'Start List'!$B$15:$B$139,0)))</f>
        <v/>
      </c>
      <c r="Z125" s="80" t="str">
        <f ca="1">IF($D125="","",INDEX('Start List'!W$15:W$139,MATCH($D125,'Start List'!$B$15:$B$139,0)))</f>
        <v/>
      </c>
      <c r="AA125" s="80" t="str">
        <f ca="1">IF($D125="","",INDEX('Start List'!X$15:X$139,MATCH($D125,'Start List'!$B$15:$B$139,0)))</f>
        <v/>
      </c>
      <c r="AB125" s="80" t="str">
        <f ca="1">IF($D125="","",INDEX('Start List'!Y$15:Y$139,MATCH($D125,'Start List'!$B$15:$B$139,0)))</f>
        <v/>
      </c>
    </row>
    <row r="126" spans="1:28" ht="12.75" x14ac:dyDescent="0.2">
      <c r="A126" s="59" t="str">
        <f>IF(OR(COUNT('Start List'!A:A)+COUNTIF('Start List'!$I$9:$I$14,"&lt;21")='By Category'!A125,A125=""),"",'By Category'!A125+1)</f>
        <v/>
      </c>
      <c r="B126" s="74" t="str">
        <f>IF(A126="","",VLOOKUP(SMALL('Start List'!$I$9:$I$139,A126),'Start List'!$I$9:$J$14,2,FALSE))</f>
        <v/>
      </c>
      <c r="C126" s="75" t="str">
        <f>IF(OR(B126="",COUNTIF($B$9:B126,B126)=1),"",COUNTIF($B$9:B126,B126)-1)</f>
        <v/>
      </c>
      <c r="D126" s="227" t="str">
        <f ca="1">IF(""=C126,"",LARGE(INDIRECT(VLOOKUP(B126,'Start List'!$J$9:$N$14,5,FALSE)),C126))</f>
        <v/>
      </c>
      <c r="E126" s="79" t="str">
        <f>IF(C126="","",VLOOKUP(B126,Data!$AK$2:$AN$7,4,FALSE)&amp;C126)</f>
        <v/>
      </c>
      <c r="F126" s="80" t="str">
        <f>IF(COUNTIF(Data!$D$2:$D$97,'By Category'!$E126)=0,"",VLOOKUP('By Category'!$E126,Data!$D$2:$H$97,'By Category'!F$8,FALSE))</f>
        <v/>
      </c>
      <c r="G126" s="80" t="str">
        <f>IF(COUNTIF(Data!$D$2:$D$97,'By Category'!$E126)=0,"",VLOOKUP('By Category'!$E126,Data!$D$2:$H$97,'By Category'!G$8,FALSE))</f>
        <v/>
      </c>
      <c r="H126" s="80" t="str">
        <f>IF(COUNTIF(Data!$D$2:$D$97,'By Category'!$E126)=0,"",VLOOKUP('By Category'!$E126,Data!$D$2:$H$97,'By Category'!H$8,FALSE))</f>
        <v/>
      </c>
      <c r="I126" s="80" t="str">
        <f>IF(COUNTIF(Data!$D$2:$D$97,'By Category'!$E126)=0,"",VLOOKUP('By Category'!$E126,Data!$D$2:$H$97,'By Category'!I$8,FALSE))</f>
        <v/>
      </c>
      <c r="J126" s="77" t="str">
        <f ca="1">IF(B126&lt;&gt;B125,B126,IF($D126="","",INDEX('Start List'!$D$15:$D$139,MATCH($D126,'Start List'!$B$15:$B$139,0))))</f>
        <v/>
      </c>
      <c r="K126" s="77" t="str">
        <f ca="1">IF($D126="","",INDEX('Start List'!$E$15:$E$139,MATCH($D126,'Start List'!$B$15:$B$139,0)))</f>
        <v/>
      </c>
      <c r="L126" s="77" t="str">
        <f ca="1">IF($D126="","",INDEX('Start List'!$H$15:$H$139,MATCH($D126,'Start List'!$B$15:$B$139,0)))</f>
        <v/>
      </c>
      <c r="M126" s="79" t="str">
        <f ca="1">IF($D126="","",INDEX('Start List'!$F$15:$F$139,MATCH($D126,'Start List'!$B$15:$B$139,0)))</f>
        <v/>
      </c>
      <c r="N126" s="80" t="str">
        <f ca="1">IF($D126="","",INDEX('Start List'!K$15:K$139,MATCH($D126,'Start List'!$B$15:$B$139,0)))</f>
        <v/>
      </c>
      <c r="O126" s="80" t="str">
        <f ca="1">IF($D126="","",INDEX('Start List'!L$15:L$139,MATCH($D126,'Start List'!$B$15:$B$139,0)))</f>
        <v/>
      </c>
      <c r="P126" s="80" t="str">
        <f ca="1">IF($D126="","",INDEX('Start List'!M$15:M$139,MATCH($D126,'Start List'!$B$15:$B$139,0)))</f>
        <v/>
      </c>
      <c r="Q126" s="80" t="str">
        <f ca="1">IF($D126="","",INDEX('Start List'!N$15:N$139,MATCH($D126,'Start List'!$B$15:$B$139,0)))</f>
        <v/>
      </c>
      <c r="R126" s="80" t="str">
        <f ca="1">IF($D126="","",INDEX('Start List'!O$15:O$139,MATCH($D126,'Start List'!$B$15:$B$139,0)))</f>
        <v/>
      </c>
      <c r="S126" s="80" t="str">
        <f ca="1">IF($D126="","",INDEX('Start List'!P$15:P$139,MATCH($D126,'Start List'!$B$15:$B$139,0)))</f>
        <v/>
      </c>
      <c r="T126" s="80" t="str">
        <f ca="1">IF($D126="","",INDEX('Start List'!Q$15:Q$139,MATCH($D126,'Start List'!$B$15:$B$139,0)))</f>
        <v/>
      </c>
      <c r="U126" s="80" t="str">
        <f ca="1">IF($D126="","",INDEX('Start List'!R$15:R$139,MATCH($D126,'Start List'!$B$15:$B$139,0)))</f>
        <v/>
      </c>
      <c r="V126" s="80" t="str">
        <f ca="1">IF($D126="","",INDEX('Start List'!S$15:S$139,MATCH($D126,'Start List'!$B$15:$B$139,0)))</f>
        <v/>
      </c>
      <c r="W126" s="80" t="str">
        <f ca="1">IF($D126="","",INDEX('Start List'!T$15:T$139,MATCH($D126,'Start List'!$B$15:$B$139,0)))</f>
        <v/>
      </c>
      <c r="X126" s="80" t="str">
        <f ca="1">IF($D126="","",INDEX('Start List'!U$15:U$139,MATCH($D126,'Start List'!$B$15:$B$139,0)))</f>
        <v/>
      </c>
      <c r="Y126" s="80" t="str">
        <f ca="1">IF($D126="","",INDEX('Start List'!V$15:V$139,MATCH($D126,'Start List'!$B$15:$B$139,0)))</f>
        <v/>
      </c>
      <c r="Z126" s="80" t="str">
        <f ca="1">IF($D126="","",INDEX('Start List'!W$15:W$139,MATCH($D126,'Start List'!$B$15:$B$139,0)))</f>
        <v/>
      </c>
      <c r="AA126" s="80" t="str">
        <f ca="1">IF($D126="","",INDEX('Start List'!X$15:X$139,MATCH($D126,'Start List'!$B$15:$B$139,0)))</f>
        <v/>
      </c>
      <c r="AB126" s="80" t="str">
        <f ca="1">IF($D126="","",INDEX('Start List'!Y$15:Y$139,MATCH($D126,'Start List'!$B$15:$B$139,0)))</f>
        <v/>
      </c>
    </row>
    <row r="127" spans="1:28" ht="12.75" x14ac:dyDescent="0.2">
      <c r="A127" s="59" t="str">
        <f>IF(OR(COUNT('Start List'!A:A)+COUNTIF('Start List'!$I$9:$I$14,"&lt;21")='By Category'!A126,A126=""),"",'By Category'!A126+1)</f>
        <v/>
      </c>
      <c r="B127" s="74" t="str">
        <f>IF(A127="","",VLOOKUP(SMALL('Start List'!$I$9:$I$139,A127),'Start List'!$I$9:$J$14,2,FALSE))</f>
        <v/>
      </c>
      <c r="C127" s="75" t="str">
        <f>IF(OR(B127="",COUNTIF($B$9:B127,B127)=1),"",COUNTIF($B$9:B127,B127)-1)</f>
        <v/>
      </c>
      <c r="D127" s="227" t="str">
        <f ca="1">IF(""=C127,"",LARGE(INDIRECT(VLOOKUP(B127,'Start List'!$J$9:$N$14,5,FALSE)),C127))</f>
        <v/>
      </c>
      <c r="E127" s="79" t="str">
        <f>IF(C127="","",VLOOKUP(B127,Data!$AK$2:$AN$7,4,FALSE)&amp;C127)</f>
        <v/>
      </c>
      <c r="F127" s="80" t="str">
        <f>IF(COUNTIF(Data!$D$2:$D$97,'By Category'!$E127)=0,"",VLOOKUP('By Category'!$E127,Data!$D$2:$H$97,'By Category'!F$8,FALSE))</f>
        <v/>
      </c>
      <c r="G127" s="80" t="str">
        <f>IF(COUNTIF(Data!$D$2:$D$97,'By Category'!$E127)=0,"",VLOOKUP('By Category'!$E127,Data!$D$2:$H$97,'By Category'!G$8,FALSE))</f>
        <v/>
      </c>
      <c r="H127" s="80" t="str">
        <f>IF(COUNTIF(Data!$D$2:$D$97,'By Category'!$E127)=0,"",VLOOKUP('By Category'!$E127,Data!$D$2:$H$97,'By Category'!H$8,FALSE))</f>
        <v/>
      </c>
      <c r="I127" s="80" t="str">
        <f>IF(COUNTIF(Data!$D$2:$D$97,'By Category'!$E127)=0,"",VLOOKUP('By Category'!$E127,Data!$D$2:$H$97,'By Category'!I$8,FALSE))</f>
        <v/>
      </c>
      <c r="J127" s="77" t="str">
        <f ca="1">IF(B127&lt;&gt;B126,B127,IF($D127="","",INDEX('Start List'!$D$15:$D$139,MATCH($D127,'Start List'!$B$15:$B$139,0))))</f>
        <v/>
      </c>
      <c r="K127" s="77" t="str">
        <f ca="1">IF($D127="","",INDEX('Start List'!$E$15:$E$139,MATCH($D127,'Start List'!$B$15:$B$139,0)))</f>
        <v/>
      </c>
      <c r="L127" s="77" t="str">
        <f ca="1">IF($D127="","",INDEX('Start List'!$H$15:$H$139,MATCH($D127,'Start List'!$B$15:$B$139,0)))</f>
        <v/>
      </c>
      <c r="M127" s="79" t="str">
        <f ca="1">IF($D127="","",INDEX('Start List'!$F$15:$F$139,MATCH($D127,'Start List'!$B$15:$B$139,0)))</f>
        <v/>
      </c>
      <c r="N127" s="80" t="str">
        <f ca="1">IF($D127="","",INDEX('Start List'!K$15:K$139,MATCH($D127,'Start List'!$B$15:$B$139,0)))</f>
        <v/>
      </c>
      <c r="O127" s="80" t="str">
        <f ca="1">IF($D127="","",INDEX('Start List'!L$15:L$139,MATCH($D127,'Start List'!$B$15:$B$139,0)))</f>
        <v/>
      </c>
      <c r="P127" s="80" t="str">
        <f ca="1">IF($D127="","",INDEX('Start List'!M$15:M$139,MATCH($D127,'Start List'!$B$15:$B$139,0)))</f>
        <v/>
      </c>
      <c r="Q127" s="80" t="str">
        <f ca="1">IF($D127="","",INDEX('Start List'!N$15:N$139,MATCH($D127,'Start List'!$B$15:$B$139,0)))</f>
        <v/>
      </c>
      <c r="R127" s="80" t="str">
        <f ca="1">IF($D127="","",INDEX('Start List'!O$15:O$139,MATCH($D127,'Start List'!$B$15:$B$139,0)))</f>
        <v/>
      </c>
      <c r="S127" s="80" t="str">
        <f ca="1">IF($D127="","",INDEX('Start List'!P$15:P$139,MATCH($D127,'Start List'!$B$15:$B$139,0)))</f>
        <v/>
      </c>
      <c r="T127" s="80" t="str">
        <f ca="1">IF($D127="","",INDEX('Start List'!Q$15:Q$139,MATCH($D127,'Start List'!$B$15:$B$139,0)))</f>
        <v/>
      </c>
      <c r="U127" s="80" t="str">
        <f ca="1">IF($D127="","",INDEX('Start List'!R$15:R$139,MATCH($D127,'Start List'!$B$15:$B$139,0)))</f>
        <v/>
      </c>
      <c r="V127" s="80" t="str">
        <f ca="1">IF($D127="","",INDEX('Start List'!S$15:S$139,MATCH($D127,'Start List'!$B$15:$B$139,0)))</f>
        <v/>
      </c>
      <c r="W127" s="80" t="str">
        <f ca="1">IF($D127="","",INDEX('Start List'!T$15:T$139,MATCH($D127,'Start List'!$B$15:$B$139,0)))</f>
        <v/>
      </c>
      <c r="X127" s="80" t="str">
        <f ca="1">IF($D127="","",INDEX('Start List'!U$15:U$139,MATCH($D127,'Start List'!$B$15:$B$139,0)))</f>
        <v/>
      </c>
      <c r="Y127" s="80" t="str">
        <f ca="1">IF($D127="","",INDEX('Start List'!V$15:V$139,MATCH($D127,'Start List'!$B$15:$B$139,0)))</f>
        <v/>
      </c>
      <c r="Z127" s="80" t="str">
        <f ca="1">IF($D127="","",INDEX('Start List'!W$15:W$139,MATCH($D127,'Start List'!$B$15:$B$139,0)))</f>
        <v/>
      </c>
      <c r="AA127" s="80" t="str">
        <f ca="1">IF($D127="","",INDEX('Start List'!X$15:X$139,MATCH($D127,'Start List'!$B$15:$B$139,0)))</f>
        <v/>
      </c>
      <c r="AB127" s="80" t="str">
        <f ca="1">IF($D127="","",INDEX('Start List'!Y$15:Y$139,MATCH($D127,'Start List'!$B$15:$B$139,0)))</f>
        <v/>
      </c>
    </row>
    <row r="128" spans="1:28" ht="12.75" x14ac:dyDescent="0.2">
      <c r="A128" s="59" t="str">
        <f>IF(OR(COUNT('Start List'!A:A)+COUNTIF('Start List'!$I$9:$I$14,"&lt;21")='By Category'!A127,A127=""),"",'By Category'!A127+1)</f>
        <v/>
      </c>
      <c r="B128" s="74" t="str">
        <f>IF(A128="","",VLOOKUP(SMALL('Start List'!$I$9:$I$139,A128),'Start List'!$I$9:$J$14,2,FALSE))</f>
        <v/>
      </c>
      <c r="C128" s="75" t="str">
        <f>IF(OR(B128="",COUNTIF($B$9:B128,B128)=1),"",COUNTIF($B$9:B128,B128)-1)</f>
        <v/>
      </c>
      <c r="D128" s="227" t="str">
        <f ca="1">IF(""=C128,"",LARGE(INDIRECT(VLOOKUP(B128,'Start List'!$J$9:$N$14,5,FALSE)),C128))</f>
        <v/>
      </c>
      <c r="E128" s="79" t="str">
        <f>IF(C128="","",VLOOKUP(B128,Data!$AK$2:$AN$7,4,FALSE)&amp;C128)</f>
        <v/>
      </c>
      <c r="F128" s="80" t="str">
        <f>IF(COUNTIF(Data!$D$2:$D$97,'By Category'!$E128)=0,"",VLOOKUP('By Category'!$E128,Data!$D$2:$H$97,'By Category'!F$8,FALSE))</f>
        <v/>
      </c>
      <c r="G128" s="80" t="str">
        <f>IF(COUNTIF(Data!$D$2:$D$97,'By Category'!$E128)=0,"",VLOOKUP('By Category'!$E128,Data!$D$2:$H$97,'By Category'!G$8,FALSE))</f>
        <v/>
      </c>
      <c r="H128" s="80" t="str">
        <f>IF(COUNTIF(Data!$D$2:$D$97,'By Category'!$E128)=0,"",VLOOKUP('By Category'!$E128,Data!$D$2:$H$97,'By Category'!H$8,FALSE))</f>
        <v/>
      </c>
      <c r="I128" s="80" t="str">
        <f>IF(COUNTIF(Data!$D$2:$D$97,'By Category'!$E128)=0,"",VLOOKUP('By Category'!$E128,Data!$D$2:$H$97,'By Category'!I$8,FALSE))</f>
        <v/>
      </c>
      <c r="J128" s="77" t="str">
        <f ca="1">IF(B128&lt;&gt;B127,B128,IF($D128="","",INDEX('Start List'!$D$15:$D$139,MATCH($D128,'Start List'!$B$15:$B$139,0))))</f>
        <v/>
      </c>
      <c r="K128" s="77" t="str">
        <f ca="1">IF($D128="","",INDEX('Start List'!$E$15:$E$139,MATCH($D128,'Start List'!$B$15:$B$139,0)))</f>
        <v/>
      </c>
      <c r="L128" s="77" t="str">
        <f ca="1">IF($D128="","",INDEX('Start List'!$H$15:$H$139,MATCH($D128,'Start List'!$B$15:$B$139,0)))</f>
        <v/>
      </c>
      <c r="M128" s="79" t="str">
        <f ca="1">IF($D128="","",INDEX('Start List'!$F$15:$F$139,MATCH($D128,'Start List'!$B$15:$B$139,0)))</f>
        <v/>
      </c>
      <c r="N128" s="80" t="str">
        <f ca="1">IF($D128="","",INDEX('Start List'!K$15:K$139,MATCH($D128,'Start List'!$B$15:$B$139,0)))</f>
        <v/>
      </c>
      <c r="O128" s="80" t="str">
        <f ca="1">IF($D128="","",INDEX('Start List'!L$15:L$139,MATCH($D128,'Start List'!$B$15:$B$139,0)))</f>
        <v/>
      </c>
      <c r="P128" s="80" t="str">
        <f ca="1">IF($D128="","",INDEX('Start List'!M$15:M$139,MATCH($D128,'Start List'!$B$15:$B$139,0)))</f>
        <v/>
      </c>
      <c r="Q128" s="80" t="str">
        <f ca="1">IF($D128="","",INDEX('Start List'!N$15:N$139,MATCH($D128,'Start List'!$B$15:$B$139,0)))</f>
        <v/>
      </c>
      <c r="R128" s="80" t="str">
        <f ca="1">IF($D128="","",INDEX('Start List'!O$15:O$139,MATCH($D128,'Start List'!$B$15:$B$139,0)))</f>
        <v/>
      </c>
      <c r="S128" s="80" t="str">
        <f ca="1">IF($D128="","",INDEX('Start List'!P$15:P$139,MATCH($D128,'Start List'!$B$15:$B$139,0)))</f>
        <v/>
      </c>
      <c r="T128" s="80" t="str">
        <f ca="1">IF($D128="","",INDEX('Start List'!Q$15:Q$139,MATCH($D128,'Start List'!$B$15:$B$139,0)))</f>
        <v/>
      </c>
      <c r="U128" s="80" t="str">
        <f ca="1">IF($D128="","",INDEX('Start List'!R$15:R$139,MATCH($D128,'Start List'!$B$15:$B$139,0)))</f>
        <v/>
      </c>
      <c r="V128" s="80" t="str">
        <f ca="1">IF($D128="","",INDEX('Start List'!S$15:S$139,MATCH($D128,'Start List'!$B$15:$B$139,0)))</f>
        <v/>
      </c>
      <c r="W128" s="80" t="str">
        <f ca="1">IF($D128="","",INDEX('Start List'!T$15:T$139,MATCH($D128,'Start List'!$B$15:$B$139,0)))</f>
        <v/>
      </c>
      <c r="X128" s="80" t="str">
        <f ca="1">IF($D128="","",INDEX('Start List'!U$15:U$139,MATCH($D128,'Start List'!$B$15:$B$139,0)))</f>
        <v/>
      </c>
      <c r="Y128" s="80" t="str">
        <f ca="1">IF($D128="","",INDEX('Start List'!V$15:V$139,MATCH($D128,'Start List'!$B$15:$B$139,0)))</f>
        <v/>
      </c>
      <c r="Z128" s="80" t="str">
        <f ca="1">IF($D128="","",INDEX('Start List'!W$15:W$139,MATCH($D128,'Start List'!$B$15:$B$139,0)))</f>
        <v/>
      </c>
      <c r="AA128" s="80" t="str">
        <f ca="1">IF($D128="","",INDEX('Start List'!X$15:X$139,MATCH($D128,'Start List'!$B$15:$B$139,0)))</f>
        <v/>
      </c>
      <c r="AB128" s="80" t="str">
        <f ca="1">IF($D128="","",INDEX('Start List'!Y$15:Y$139,MATCH($D128,'Start List'!$B$15:$B$139,0)))</f>
        <v/>
      </c>
    </row>
    <row r="129" spans="1:28" ht="12.75" x14ac:dyDescent="0.2">
      <c r="A129" s="59" t="str">
        <f>IF(OR(COUNT('Start List'!A:A)+COUNTIF('Start List'!$I$9:$I$14,"&lt;21")='By Category'!A128,A128=""),"",'By Category'!A128+1)</f>
        <v/>
      </c>
      <c r="B129" s="74" t="str">
        <f>IF(A129="","",VLOOKUP(SMALL('Start List'!$I$9:$I$139,A129),'Start List'!$I$9:$J$14,2,FALSE))</f>
        <v/>
      </c>
      <c r="C129" s="75" t="str">
        <f>IF(OR(B129="",COUNTIF($B$9:B129,B129)=1),"",COUNTIF($B$9:B129,B129)-1)</f>
        <v/>
      </c>
      <c r="D129" s="227" t="str">
        <f ca="1">IF(""=C129,"",LARGE(INDIRECT(VLOOKUP(B129,'Start List'!$J$9:$N$14,5,FALSE)),C129))</f>
        <v/>
      </c>
      <c r="E129" s="79" t="str">
        <f>IF(C129="","",VLOOKUP(B129,Data!$AK$2:$AN$7,4,FALSE)&amp;C129)</f>
        <v/>
      </c>
      <c r="F129" s="80" t="str">
        <f>IF(COUNTIF(Data!$D$2:$D$97,'By Category'!$E129)=0,"",VLOOKUP('By Category'!$E129,Data!$D$2:$H$97,'By Category'!F$8,FALSE))</f>
        <v/>
      </c>
      <c r="G129" s="80" t="str">
        <f>IF(COUNTIF(Data!$D$2:$D$97,'By Category'!$E129)=0,"",VLOOKUP('By Category'!$E129,Data!$D$2:$H$97,'By Category'!G$8,FALSE))</f>
        <v/>
      </c>
      <c r="H129" s="80" t="str">
        <f>IF(COUNTIF(Data!$D$2:$D$97,'By Category'!$E129)=0,"",VLOOKUP('By Category'!$E129,Data!$D$2:$H$97,'By Category'!H$8,FALSE))</f>
        <v/>
      </c>
      <c r="I129" s="80" t="str">
        <f>IF(COUNTIF(Data!$D$2:$D$97,'By Category'!$E129)=0,"",VLOOKUP('By Category'!$E129,Data!$D$2:$H$97,'By Category'!I$8,FALSE))</f>
        <v/>
      </c>
      <c r="J129" s="77" t="str">
        <f ca="1">IF(B129&lt;&gt;B128,B129,IF($D129="","",INDEX('Start List'!$D$15:$D$139,MATCH($D129,'Start List'!$B$15:$B$139,0))))</f>
        <v/>
      </c>
      <c r="K129" s="77" t="str">
        <f ca="1">IF($D129="","",INDEX('Start List'!$E$15:$E$139,MATCH($D129,'Start List'!$B$15:$B$139,0)))</f>
        <v/>
      </c>
      <c r="L129" s="77" t="str">
        <f ca="1">IF($D129="","",INDEX('Start List'!$H$15:$H$139,MATCH($D129,'Start List'!$B$15:$B$139,0)))</f>
        <v/>
      </c>
      <c r="M129" s="79" t="str">
        <f ca="1">IF($D129="","",INDEX('Start List'!$F$15:$F$139,MATCH($D129,'Start List'!$B$15:$B$139,0)))</f>
        <v/>
      </c>
      <c r="N129" s="80" t="str">
        <f ca="1">IF($D129="","",INDEX('Start List'!K$15:K$139,MATCH($D129,'Start List'!$B$15:$B$139,0)))</f>
        <v/>
      </c>
      <c r="O129" s="80" t="str">
        <f ca="1">IF($D129="","",INDEX('Start List'!L$15:L$139,MATCH($D129,'Start List'!$B$15:$B$139,0)))</f>
        <v/>
      </c>
      <c r="P129" s="80" t="str">
        <f ca="1">IF($D129="","",INDEX('Start List'!M$15:M$139,MATCH($D129,'Start List'!$B$15:$B$139,0)))</f>
        <v/>
      </c>
      <c r="Q129" s="80" t="str">
        <f ca="1">IF($D129="","",INDEX('Start List'!N$15:N$139,MATCH($D129,'Start List'!$B$15:$B$139,0)))</f>
        <v/>
      </c>
      <c r="R129" s="80" t="str">
        <f ca="1">IF($D129="","",INDEX('Start List'!O$15:O$139,MATCH($D129,'Start List'!$B$15:$B$139,0)))</f>
        <v/>
      </c>
      <c r="S129" s="80" t="str">
        <f ca="1">IF($D129="","",INDEX('Start List'!P$15:P$139,MATCH($D129,'Start List'!$B$15:$B$139,0)))</f>
        <v/>
      </c>
      <c r="T129" s="80" t="str">
        <f ca="1">IF($D129="","",INDEX('Start List'!Q$15:Q$139,MATCH($D129,'Start List'!$B$15:$B$139,0)))</f>
        <v/>
      </c>
      <c r="U129" s="80" t="str">
        <f ca="1">IF($D129="","",INDEX('Start List'!R$15:R$139,MATCH($D129,'Start List'!$B$15:$B$139,0)))</f>
        <v/>
      </c>
      <c r="V129" s="80" t="str">
        <f ca="1">IF($D129="","",INDEX('Start List'!S$15:S$139,MATCH($D129,'Start List'!$B$15:$B$139,0)))</f>
        <v/>
      </c>
      <c r="W129" s="80" t="str">
        <f ca="1">IF($D129="","",INDEX('Start List'!T$15:T$139,MATCH($D129,'Start List'!$B$15:$B$139,0)))</f>
        <v/>
      </c>
      <c r="X129" s="80" t="str">
        <f ca="1">IF($D129="","",INDEX('Start List'!U$15:U$139,MATCH($D129,'Start List'!$B$15:$B$139,0)))</f>
        <v/>
      </c>
      <c r="Y129" s="80" t="str">
        <f ca="1">IF($D129="","",INDEX('Start List'!V$15:V$139,MATCH($D129,'Start List'!$B$15:$B$139,0)))</f>
        <v/>
      </c>
      <c r="Z129" s="80" t="str">
        <f ca="1">IF($D129="","",INDEX('Start List'!W$15:W$139,MATCH($D129,'Start List'!$B$15:$B$139,0)))</f>
        <v/>
      </c>
      <c r="AA129" s="80" t="str">
        <f ca="1">IF($D129="","",INDEX('Start List'!X$15:X$139,MATCH($D129,'Start List'!$B$15:$B$139,0)))</f>
        <v/>
      </c>
      <c r="AB129" s="80" t="str">
        <f ca="1">IF($D129="","",INDEX('Start List'!Y$15:Y$139,MATCH($D129,'Start List'!$B$15:$B$139,0)))</f>
        <v/>
      </c>
    </row>
    <row r="130" spans="1:28" ht="12.75" x14ac:dyDescent="0.2">
      <c r="A130" s="59" t="str">
        <f>IF(OR(COUNT('Start List'!A:A)+COUNTIF('Start List'!$I$9:$I$14,"&lt;21")='By Category'!A129,A129=""),"",'By Category'!A129+1)</f>
        <v/>
      </c>
      <c r="B130" s="74" t="str">
        <f>IF(A130="","",VLOOKUP(SMALL('Start List'!$I$9:$I$139,A130),'Start List'!$I$9:$J$14,2,FALSE))</f>
        <v/>
      </c>
      <c r="C130" s="75" t="str">
        <f>IF(OR(B130="",COUNTIF($B$9:B130,B130)=1),"",COUNTIF($B$9:B130,B130)-1)</f>
        <v/>
      </c>
      <c r="D130" s="227" t="str">
        <f ca="1">IF(""=C130,"",LARGE(INDIRECT(VLOOKUP(B130,'Start List'!$J$9:$N$14,5,FALSE)),C130))</f>
        <v/>
      </c>
      <c r="E130" s="79" t="str">
        <f>IF(C130="","",VLOOKUP(B130,Data!$AK$2:$AN$7,4,FALSE)&amp;C130)</f>
        <v/>
      </c>
      <c r="F130" s="80" t="str">
        <f>IF(COUNTIF(Data!$D$2:$D$97,'By Category'!$E130)=0,"",VLOOKUP('By Category'!$E130,Data!$D$2:$H$97,'By Category'!F$8,FALSE))</f>
        <v/>
      </c>
      <c r="G130" s="80" t="str">
        <f>IF(COUNTIF(Data!$D$2:$D$97,'By Category'!$E130)=0,"",VLOOKUP('By Category'!$E130,Data!$D$2:$H$97,'By Category'!G$8,FALSE))</f>
        <v/>
      </c>
      <c r="H130" s="80" t="str">
        <f>IF(COUNTIF(Data!$D$2:$D$97,'By Category'!$E130)=0,"",VLOOKUP('By Category'!$E130,Data!$D$2:$H$97,'By Category'!H$8,FALSE))</f>
        <v/>
      </c>
      <c r="I130" s="80" t="str">
        <f>IF(COUNTIF(Data!$D$2:$D$97,'By Category'!$E130)=0,"",VLOOKUP('By Category'!$E130,Data!$D$2:$H$97,'By Category'!I$8,FALSE))</f>
        <v/>
      </c>
      <c r="J130" s="77" t="str">
        <f ca="1">IF(B130&lt;&gt;B129,B130,IF($D130="","",INDEX('Start List'!$D$15:$D$139,MATCH($D130,'Start List'!$B$15:$B$139,0))))</f>
        <v/>
      </c>
      <c r="K130" s="77" t="str">
        <f ca="1">IF($D130="","",INDEX('Start List'!$E$15:$E$139,MATCH($D130,'Start List'!$B$15:$B$139,0)))</f>
        <v/>
      </c>
      <c r="L130" s="77" t="str">
        <f ca="1">IF($D130="","",INDEX('Start List'!$H$15:$H$139,MATCH($D130,'Start List'!$B$15:$B$139,0)))</f>
        <v/>
      </c>
      <c r="M130" s="79" t="str">
        <f ca="1">IF($D130="","",INDEX('Start List'!$F$15:$F$139,MATCH($D130,'Start List'!$B$15:$B$139,0)))</f>
        <v/>
      </c>
      <c r="N130" s="80" t="str">
        <f ca="1">IF($D130="","",INDEX('Start List'!K$15:K$139,MATCH($D130,'Start List'!$B$15:$B$139,0)))</f>
        <v/>
      </c>
      <c r="O130" s="80" t="str">
        <f ca="1">IF($D130="","",INDEX('Start List'!L$15:L$139,MATCH($D130,'Start List'!$B$15:$B$139,0)))</f>
        <v/>
      </c>
      <c r="P130" s="80" t="str">
        <f ca="1">IF($D130="","",INDEX('Start List'!M$15:M$139,MATCH($D130,'Start List'!$B$15:$B$139,0)))</f>
        <v/>
      </c>
      <c r="Q130" s="80" t="str">
        <f ca="1">IF($D130="","",INDEX('Start List'!N$15:N$139,MATCH($D130,'Start List'!$B$15:$B$139,0)))</f>
        <v/>
      </c>
      <c r="R130" s="80" t="str">
        <f ca="1">IF($D130="","",INDEX('Start List'!O$15:O$139,MATCH($D130,'Start List'!$B$15:$B$139,0)))</f>
        <v/>
      </c>
      <c r="S130" s="80" t="str">
        <f ca="1">IF($D130="","",INDEX('Start List'!P$15:P$139,MATCH($D130,'Start List'!$B$15:$B$139,0)))</f>
        <v/>
      </c>
      <c r="T130" s="80" t="str">
        <f ca="1">IF($D130="","",INDEX('Start List'!Q$15:Q$139,MATCH($D130,'Start List'!$B$15:$B$139,0)))</f>
        <v/>
      </c>
      <c r="U130" s="80" t="str">
        <f ca="1">IF($D130="","",INDEX('Start List'!R$15:R$139,MATCH($D130,'Start List'!$B$15:$B$139,0)))</f>
        <v/>
      </c>
      <c r="V130" s="80" t="str">
        <f ca="1">IF($D130="","",INDEX('Start List'!S$15:S$139,MATCH($D130,'Start List'!$B$15:$B$139,0)))</f>
        <v/>
      </c>
      <c r="W130" s="80" t="str">
        <f ca="1">IF($D130="","",INDEX('Start List'!T$15:T$139,MATCH($D130,'Start List'!$B$15:$B$139,0)))</f>
        <v/>
      </c>
      <c r="X130" s="80" t="str">
        <f ca="1">IF($D130="","",INDEX('Start List'!U$15:U$139,MATCH($D130,'Start List'!$B$15:$B$139,0)))</f>
        <v/>
      </c>
      <c r="Y130" s="80" t="str">
        <f ca="1">IF($D130="","",INDEX('Start List'!V$15:V$139,MATCH($D130,'Start List'!$B$15:$B$139,0)))</f>
        <v/>
      </c>
      <c r="Z130" s="80" t="str">
        <f ca="1">IF($D130="","",INDEX('Start List'!W$15:W$139,MATCH($D130,'Start List'!$B$15:$B$139,0)))</f>
        <v/>
      </c>
      <c r="AA130" s="80" t="str">
        <f ca="1">IF($D130="","",INDEX('Start List'!X$15:X$139,MATCH($D130,'Start List'!$B$15:$B$139,0)))</f>
        <v/>
      </c>
      <c r="AB130" s="80" t="str">
        <f ca="1">IF($D130="","",INDEX('Start List'!Y$15:Y$139,MATCH($D130,'Start List'!$B$15:$B$139,0)))</f>
        <v/>
      </c>
    </row>
    <row r="131" spans="1:28" ht="12.75" x14ac:dyDescent="0.2">
      <c r="A131" s="59" t="str">
        <f>IF(OR(COUNT('Start List'!A:A)+COUNTIF('Start List'!$I$9:$I$14,"&lt;21")='By Category'!A130,A130=""),"",'By Category'!A130+1)</f>
        <v/>
      </c>
      <c r="B131" s="74" t="str">
        <f>IF(A131="","",VLOOKUP(SMALL('Start List'!$I$9:$I$139,A131),'Start List'!$I$9:$J$14,2,FALSE))</f>
        <v/>
      </c>
      <c r="C131" s="75" t="str">
        <f>IF(OR(B131="",COUNTIF($B$9:B131,B131)=1),"",COUNTIF($B$9:B131,B131)-1)</f>
        <v/>
      </c>
      <c r="D131" s="227" t="str">
        <f ca="1">IF(""=C131,"",LARGE(INDIRECT(VLOOKUP(B131,'Start List'!$J$9:$N$14,5,FALSE)),C131))</f>
        <v/>
      </c>
      <c r="E131" s="79" t="str">
        <f>IF(C131="","",VLOOKUP(B131,Data!$AK$2:$AN$7,4,FALSE)&amp;C131)</f>
        <v/>
      </c>
      <c r="F131" s="80" t="str">
        <f>IF(COUNTIF(Data!$D$2:$D$97,'By Category'!$E131)=0,"",VLOOKUP('By Category'!$E131,Data!$D$2:$H$97,'By Category'!F$8,FALSE))</f>
        <v/>
      </c>
      <c r="G131" s="80" t="str">
        <f>IF(COUNTIF(Data!$D$2:$D$97,'By Category'!$E131)=0,"",VLOOKUP('By Category'!$E131,Data!$D$2:$H$97,'By Category'!G$8,FALSE))</f>
        <v/>
      </c>
      <c r="H131" s="80" t="str">
        <f>IF(COUNTIF(Data!$D$2:$D$97,'By Category'!$E131)=0,"",VLOOKUP('By Category'!$E131,Data!$D$2:$H$97,'By Category'!H$8,FALSE))</f>
        <v/>
      </c>
      <c r="I131" s="80" t="str">
        <f>IF(COUNTIF(Data!$D$2:$D$97,'By Category'!$E131)=0,"",VLOOKUP('By Category'!$E131,Data!$D$2:$H$97,'By Category'!I$8,FALSE))</f>
        <v/>
      </c>
      <c r="J131" s="77" t="str">
        <f ca="1">IF(B131&lt;&gt;B130,B131,IF($D131="","",INDEX('Start List'!$D$15:$D$139,MATCH($D131,'Start List'!$B$15:$B$139,0))))</f>
        <v/>
      </c>
      <c r="K131" s="77" t="str">
        <f ca="1">IF($D131="","",INDEX('Start List'!$E$15:$E$139,MATCH($D131,'Start List'!$B$15:$B$139,0)))</f>
        <v/>
      </c>
      <c r="L131" s="77" t="str">
        <f ca="1">IF($D131="","",INDEX('Start List'!$H$15:$H$139,MATCH($D131,'Start List'!$B$15:$B$139,0)))</f>
        <v/>
      </c>
      <c r="M131" s="79" t="str">
        <f ca="1">IF($D131="","",INDEX('Start List'!$F$15:$F$139,MATCH($D131,'Start List'!$B$15:$B$139,0)))</f>
        <v/>
      </c>
      <c r="N131" s="80" t="str">
        <f ca="1">IF($D131="","",INDEX('Start List'!K$15:K$139,MATCH($D131,'Start List'!$B$15:$B$139,0)))</f>
        <v/>
      </c>
      <c r="O131" s="80" t="str">
        <f ca="1">IF($D131="","",INDEX('Start List'!L$15:L$139,MATCH($D131,'Start List'!$B$15:$B$139,0)))</f>
        <v/>
      </c>
      <c r="P131" s="80" t="str">
        <f ca="1">IF($D131="","",INDEX('Start List'!M$15:M$139,MATCH($D131,'Start List'!$B$15:$B$139,0)))</f>
        <v/>
      </c>
      <c r="Q131" s="80" t="str">
        <f ca="1">IF($D131="","",INDEX('Start List'!N$15:N$139,MATCH($D131,'Start List'!$B$15:$B$139,0)))</f>
        <v/>
      </c>
      <c r="R131" s="80" t="str">
        <f ca="1">IF($D131="","",INDEX('Start List'!O$15:O$139,MATCH($D131,'Start List'!$B$15:$B$139,0)))</f>
        <v/>
      </c>
      <c r="S131" s="80" t="str">
        <f ca="1">IF($D131="","",INDEX('Start List'!P$15:P$139,MATCH($D131,'Start List'!$B$15:$B$139,0)))</f>
        <v/>
      </c>
      <c r="T131" s="80" t="str">
        <f ca="1">IF($D131="","",INDEX('Start List'!Q$15:Q$139,MATCH($D131,'Start List'!$B$15:$B$139,0)))</f>
        <v/>
      </c>
      <c r="U131" s="80" t="str">
        <f ca="1">IF($D131="","",INDEX('Start List'!R$15:R$139,MATCH($D131,'Start List'!$B$15:$B$139,0)))</f>
        <v/>
      </c>
      <c r="V131" s="80" t="str">
        <f ca="1">IF($D131="","",INDEX('Start List'!S$15:S$139,MATCH($D131,'Start List'!$B$15:$B$139,0)))</f>
        <v/>
      </c>
      <c r="W131" s="80" t="str">
        <f ca="1">IF($D131="","",INDEX('Start List'!T$15:T$139,MATCH($D131,'Start List'!$B$15:$B$139,0)))</f>
        <v/>
      </c>
      <c r="X131" s="80" t="str">
        <f ca="1">IF($D131="","",INDEX('Start List'!U$15:U$139,MATCH($D131,'Start List'!$B$15:$B$139,0)))</f>
        <v/>
      </c>
      <c r="Y131" s="80" t="str">
        <f ca="1">IF($D131="","",INDEX('Start List'!V$15:V$139,MATCH($D131,'Start List'!$B$15:$B$139,0)))</f>
        <v/>
      </c>
      <c r="Z131" s="80" t="str">
        <f ca="1">IF($D131="","",INDEX('Start List'!W$15:W$139,MATCH($D131,'Start List'!$B$15:$B$139,0)))</f>
        <v/>
      </c>
      <c r="AA131" s="80" t="str">
        <f ca="1">IF($D131="","",INDEX('Start List'!X$15:X$139,MATCH($D131,'Start List'!$B$15:$B$139,0)))</f>
        <v/>
      </c>
      <c r="AB131" s="80" t="str">
        <f ca="1">IF($D131="","",INDEX('Start List'!Y$15:Y$139,MATCH($D131,'Start List'!$B$15:$B$139,0)))</f>
        <v/>
      </c>
    </row>
    <row r="132" spans="1:28" ht="12.75" x14ac:dyDescent="0.2">
      <c r="A132" s="59" t="str">
        <f>IF(OR(COUNT('Start List'!A:A)+COUNTIF('Start List'!$I$9:$I$14,"&lt;21")='By Category'!A131,A131=""),"",'By Category'!A131+1)</f>
        <v/>
      </c>
      <c r="B132" s="74" t="str">
        <f>IF(A132="","",VLOOKUP(SMALL('Start List'!$I$9:$I$139,A132),'Start List'!$I$9:$J$14,2,FALSE))</f>
        <v/>
      </c>
      <c r="C132" s="75" t="str">
        <f>IF(OR(B132="",COUNTIF($B$9:B132,B132)=1),"",COUNTIF($B$9:B132,B132)-1)</f>
        <v/>
      </c>
      <c r="D132" s="227" t="str">
        <f ca="1">IF(""=C132,"",LARGE(INDIRECT(VLOOKUP(B132,'Start List'!$J$9:$N$14,5,FALSE)),C132))</f>
        <v/>
      </c>
      <c r="E132" s="79" t="str">
        <f>IF(C132="","",VLOOKUP(B132,Data!$AK$2:$AN$7,4,FALSE)&amp;C132)</f>
        <v/>
      </c>
      <c r="F132" s="80" t="str">
        <f>IF(COUNTIF(Data!$D$2:$D$97,'By Category'!$E132)=0,"",VLOOKUP('By Category'!$E132,Data!$D$2:$H$97,'By Category'!F$8,FALSE))</f>
        <v/>
      </c>
      <c r="G132" s="80" t="str">
        <f>IF(COUNTIF(Data!$D$2:$D$97,'By Category'!$E132)=0,"",VLOOKUP('By Category'!$E132,Data!$D$2:$H$97,'By Category'!G$8,FALSE))</f>
        <v/>
      </c>
      <c r="H132" s="80" t="str">
        <f>IF(COUNTIF(Data!$D$2:$D$97,'By Category'!$E132)=0,"",VLOOKUP('By Category'!$E132,Data!$D$2:$H$97,'By Category'!H$8,FALSE))</f>
        <v/>
      </c>
      <c r="I132" s="80" t="str">
        <f>IF(COUNTIF(Data!$D$2:$D$97,'By Category'!$E132)=0,"",VLOOKUP('By Category'!$E132,Data!$D$2:$H$97,'By Category'!I$8,FALSE))</f>
        <v/>
      </c>
      <c r="J132" s="77" t="str">
        <f ca="1">IF(B132&lt;&gt;B131,B132,IF($D132="","",INDEX('Start List'!$D$15:$D$139,MATCH($D132,'Start List'!$B$15:$B$139,0))))</f>
        <v/>
      </c>
      <c r="K132" s="77" t="str">
        <f ca="1">IF($D132="","",INDEX('Start List'!$E$15:$E$139,MATCH($D132,'Start List'!$B$15:$B$139,0)))</f>
        <v/>
      </c>
      <c r="L132" s="77" t="str">
        <f ca="1">IF($D132="","",INDEX('Start List'!$H$15:$H$139,MATCH($D132,'Start List'!$B$15:$B$139,0)))</f>
        <v/>
      </c>
      <c r="M132" s="79" t="str">
        <f ca="1">IF($D132="","",INDEX('Start List'!$F$15:$F$139,MATCH($D132,'Start List'!$B$15:$B$139,0)))</f>
        <v/>
      </c>
      <c r="N132" s="80" t="str">
        <f ca="1">IF($D132="","",INDEX('Start List'!K$15:K$139,MATCH($D132,'Start List'!$B$15:$B$139,0)))</f>
        <v/>
      </c>
      <c r="O132" s="80" t="str">
        <f ca="1">IF($D132="","",INDEX('Start List'!L$15:L$139,MATCH($D132,'Start List'!$B$15:$B$139,0)))</f>
        <v/>
      </c>
      <c r="P132" s="80" t="str">
        <f ca="1">IF($D132="","",INDEX('Start List'!M$15:M$139,MATCH($D132,'Start List'!$B$15:$B$139,0)))</f>
        <v/>
      </c>
      <c r="Q132" s="80" t="str">
        <f ca="1">IF($D132="","",INDEX('Start List'!N$15:N$139,MATCH($D132,'Start List'!$B$15:$B$139,0)))</f>
        <v/>
      </c>
      <c r="R132" s="80" t="str">
        <f ca="1">IF($D132="","",INDEX('Start List'!O$15:O$139,MATCH($D132,'Start List'!$B$15:$B$139,0)))</f>
        <v/>
      </c>
      <c r="S132" s="80" t="str">
        <f ca="1">IF($D132="","",INDEX('Start List'!P$15:P$139,MATCH($D132,'Start List'!$B$15:$B$139,0)))</f>
        <v/>
      </c>
      <c r="T132" s="80" t="str">
        <f ca="1">IF($D132="","",INDEX('Start List'!Q$15:Q$139,MATCH($D132,'Start List'!$B$15:$B$139,0)))</f>
        <v/>
      </c>
      <c r="U132" s="80" t="str">
        <f ca="1">IF($D132="","",INDEX('Start List'!R$15:R$139,MATCH($D132,'Start List'!$B$15:$B$139,0)))</f>
        <v/>
      </c>
      <c r="V132" s="80" t="str">
        <f ca="1">IF($D132="","",INDEX('Start List'!S$15:S$139,MATCH($D132,'Start List'!$B$15:$B$139,0)))</f>
        <v/>
      </c>
      <c r="W132" s="80" t="str">
        <f ca="1">IF($D132="","",INDEX('Start List'!T$15:T$139,MATCH($D132,'Start List'!$B$15:$B$139,0)))</f>
        <v/>
      </c>
      <c r="X132" s="80" t="str">
        <f ca="1">IF($D132="","",INDEX('Start List'!U$15:U$139,MATCH($D132,'Start List'!$B$15:$B$139,0)))</f>
        <v/>
      </c>
      <c r="Y132" s="80" t="str">
        <f ca="1">IF($D132="","",INDEX('Start List'!V$15:V$139,MATCH($D132,'Start List'!$B$15:$B$139,0)))</f>
        <v/>
      </c>
      <c r="Z132" s="80" t="str">
        <f ca="1">IF($D132="","",INDEX('Start List'!W$15:W$139,MATCH($D132,'Start List'!$B$15:$B$139,0)))</f>
        <v/>
      </c>
      <c r="AA132" s="80" t="str">
        <f ca="1">IF($D132="","",INDEX('Start List'!X$15:X$139,MATCH($D132,'Start List'!$B$15:$B$139,0)))</f>
        <v/>
      </c>
      <c r="AB132" s="80" t="str">
        <f ca="1">IF($D132="","",INDEX('Start List'!Y$15:Y$139,MATCH($D132,'Start List'!$B$15:$B$139,0)))</f>
        <v/>
      </c>
    </row>
    <row r="133" spans="1:28" ht="12.75" x14ac:dyDescent="0.2">
      <c r="A133" s="59" t="str">
        <f>IF(OR(COUNT('Start List'!A:A)+COUNTIF('Start List'!$I$9:$I$14,"&lt;21")='By Category'!A132,A132=""),"",'By Category'!A132+1)</f>
        <v/>
      </c>
      <c r="B133" s="74" t="str">
        <f>IF(A133="","",VLOOKUP(SMALL('Start List'!$I$9:$I$139,A133),'Start List'!$I$9:$J$14,2,FALSE))</f>
        <v/>
      </c>
      <c r="C133" s="75" t="str">
        <f>IF(OR(B133="",COUNTIF($B$9:B133,B133)=1),"",COUNTIF($B$9:B133,B133)-1)</f>
        <v/>
      </c>
      <c r="D133" s="227" t="str">
        <f ca="1">IF(""=C133,"",LARGE(INDIRECT(VLOOKUP(B133,'Start List'!$J$9:$N$14,5,FALSE)),C133))</f>
        <v/>
      </c>
      <c r="E133" s="79" t="str">
        <f>IF(C133="","",VLOOKUP(B133,Data!$AK$2:$AN$7,4,FALSE)&amp;C133)</f>
        <v/>
      </c>
      <c r="F133" s="80" t="str">
        <f>IF(COUNTIF(Data!$D$2:$D$97,'By Category'!$E133)=0,"",VLOOKUP('By Category'!$E133,Data!$D$2:$H$97,'By Category'!F$8,FALSE))</f>
        <v/>
      </c>
      <c r="G133" s="80" t="str">
        <f>IF(COUNTIF(Data!$D$2:$D$97,'By Category'!$E133)=0,"",VLOOKUP('By Category'!$E133,Data!$D$2:$H$97,'By Category'!G$8,FALSE))</f>
        <v/>
      </c>
      <c r="H133" s="80" t="str">
        <f>IF(COUNTIF(Data!$D$2:$D$97,'By Category'!$E133)=0,"",VLOOKUP('By Category'!$E133,Data!$D$2:$H$97,'By Category'!H$8,FALSE))</f>
        <v/>
      </c>
      <c r="I133" s="80" t="str">
        <f>IF(COUNTIF(Data!$D$2:$D$97,'By Category'!$E133)=0,"",VLOOKUP('By Category'!$E133,Data!$D$2:$H$97,'By Category'!I$8,FALSE))</f>
        <v/>
      </c>
      <c r="J133" s="77" t="str">
        <f ca="1">IF(B133&lt;&gt;B132,B133,IF($D133="","",INDEX('Start List'!$D$15:$D$139,MATCH($D133,'Start List'!$B$15:$B$139,0))))</f>
        <v/>
      </c>
      <c r="K133" s="77" t="str">
        <f ca="1">IF($D133="","",INDEX('Start List'!$E$15:$E$139,MATCH($D133,'Start List'!$B$15:$B$139,0)))</f>
        <v/>
      </c>
      <c r="L133" s="77" t="str">
        <f ca="1">IF($D133="","",INDEX('Start List'!$H$15:$H$139,MATCH($D133,'Start List'!$B$15:$B$139,0)))</f>
        <v/>
      </c>
      <c r="M133" s="79" t="str">
        <f ca="1">IF($D133="","",INDEX('Start List'!$F$15:$F$139,MATCH($D133,'Start List'!$B$15:$B$139,0)))</f>
        <v/>
      </c>
      <c r="N133" s="80" t="str">
        <f ca="1">IF($D133="","",INDEX('Start List'!K$15:K$139,MATCH($D133,'Start List'!$B$15:$B$139,0)))</f>
        <v/>
      </c>
      <c r="O133" s="80" t="str">
        <f ca="1">IF($D133="","",INDEX('Start List'!L$15:L$139,MATCH($D133,'Start List'!$B$15:$B$139,0)))</f>
        <v/>
      </c>
      <c r="P133" s="80" t="str">
        <f ca="1">IF($D133="","",INDEX('Start List'!M$15:M$139,MATCH($D133,'Start List'!$B$15:$B$139,0)))</f>
        <v/>
      </c>
      <c r="Q133" s="80" t="str">
        <f ca="1">IF($D133="","",INDEX('Start List'!N$15:N$139,MATCH($D133,'Start List'!$B$15:$B$139,0)))</f>
        <v/>
      </c>
      <c r="R133" s="80" t="str">
        <f ca="1">IF($D133="","",INDEX('Start List'!O$15:O$139,MATCH($D133,'Start List'!$B$15:$B$139,0)))</f>
        <v/>
      </c>
      <c r="S133" s="80" t="str">
        <f ca="1">IF($D133="","",INDEX('Start List'!P$15:P$139,MATCH($D133,'Start List'!$B$15:$B$139,0)))</f>
        <v/>
      </c>
      <c r="T133" s="80" t="str">
        <f ca="1">IF($D133="","",INDEX('Start List'!Q$15:Q$139,MATCH($D133,'Start List'!$B$15:$B$139,0)))</f>
        <v/>
      </c>
      <c r="U133" s="80" t="str">
        <f ca="1">IF($D133="","",INDEX('Start List'!R$15:R$139,MATCH($D133,'Start List'!$B$15:$B$139,0)))</f>
        <v/>
      </c>
      <c r="V133" s="80" t="str">
        <f ca="1">IF($D133="","",INDEX('Start List'!S$15:S$139,MATCH($D133,'Start List'!$B$15:$B$139,0)))</f>
        <v/>
      </c>
      <c r="W133" s="80" t="str">
        <f ca="1">IF($D133="","",INDEX('Start List'!T$15:T$139,MATCH($D133,'Start List'!$B$15:$B$139,0)))</f>
        <v/>
      </c>
      <c r="X133" s="80" t="str">
        <f ca="1">IF($D133="","",INDEX('Start List'!U$15:U$139,MATCH($D133,'Start List'!$B$15:$B$139,0)))</f>
        <v/>
      </c>
      <c r="Y133" s="80" t="str">
        <f ca="1">IF($D133="","",INDEX('Start List'!V$15:V$139,MATCH($D133,'Start List'!$B$15:$B$139,0)))</f>
        <v/>
      </c>
      <c r="Z133" s="80" t="str">
        <f ca="1">IF($D133="","",INDEX('Start List'!W$15:W$139,MATCH($D133,'Start List'!$B$15:$B$139,0)))</f>
        <v/>
      </c>
      <c r="AA133" s="80" t="str">
        <f ca="1">IF($D133="","",INDEX('Start List'!X$15:X$139,MATCH($D133,'Start List'!$B$15:$B$139,0)))</f>
        <v/>
      </c>
      <c r="AB133" s="80" t="str">
        <f ca="1">IF($D133="","",INDEX('Start List'!Y$15:Y$139,MATCH($D133,'Start List'!$B$15:$B$139,0)))</f>
        <v/>
      </c>
    </row>
    <row r="134" spans="1:28" ht="12.75" x14ac:dyDescent="0.2">
      <c r="A134" s="59" t="str">
        <f>IF(OR(COUNT('Start List'!A:A)+COUNTIF('Start List'!$I$9:$I$14,"&lt;21")='By Category'!A133,A133=""),"",'By Category'!A133+1)</f>
        <v/>
      </c>
      <c r="B134" s="74" t="str">
        <f>IF(A134="","",VLOOKUP(SMALL('Start List'!$I$9:$I$139,A134),'Start List'!$I$9:$J$14,2,FALSE))</f>
        <v/>
      </c>
      <c r="C134" s="75" t="str">
        <f>IF(OR(B134="",COUNTIF($B$9:B134,B134)=1),"",COUNTIF($B$9:B134,B134)-1)</f>
        <v/>
      </c>
      <c r="D134" s="227" t="str">
        <f ca="1">IF(""=C134,"",LARGE(INDIRECT(VLOOKUP(B134,'Start List'!$J$9:$N$14,5,FALSE)),C134))</f>
        <v/>
      </c>
      <c r="E134" s="79" t="str">
        <f>IF(C134="","",VLOOKUP(B134,Data!$AK$2:$AN$7,4,FALSE)&amp;C134)</f>
        <v/>
      </c>
      <c r="F134" s="80" t="str">
        <f>IF(COUNTIF(Data!$D$2:$D$97,'By Category'!$E134)=0,"",VLOOKUP('By Category'!$E134,Data!$D$2:$H$97,'By Category'!F$8,FALSE))</f>
        <v/>
      </c>
      <c r="G134" s="80" t="str">
        <f>IF(COUNTIF(Data!$D$2:$D$97,'By Category'!$E134)=0,"",VLOOKUP('By Category'!$E134,Data!$D$2:$H$97,'By Category'!G$8,FALSE))</f>
        <v/>
      </c>
      <c r="H134" s="80" t="str">
        <f>IF(COUNTIF(Data!$D$2:$D$97,'By Category'!$E134)=0,"",VLOOKUP('By Category'!$E134,Data!$D$2:$H$97,'By Category'!H$8,FALSE))</f>
        <v/>
      </c>
      <c r="I134" s="80" t="str">
        <f>IF(COUNTIF(Data!$D$2:$D$97,'By Category'!$E134)=0,"",VLOOKUP('By Category'!$E134,Data!$D$2:$H$97,'By Category'!I$8,FALSE))</f>
        <v/>
      </c>
      <c r="J134" s="77" t="str">
        <f ca="1">IF(B134&lt;&gt;B133,B134,IF($D134="","",INDEX('Start List'!$D$15:$D$139,MATCH($D134,'Start List'!$B$15:$B$139,0))))</f>
        <v/>
      </c>
      <c r="K134" s="77" t="str">
        <f ca="1">IF($D134="","",INDEX('Start List'!$E$15:$E$139,MATCH($D134,'Start List'!$B$15:$B$139,0)))</f>
        <v/>
      </c>
      <c r="L134" s="77" t="str">
        <f ca="1">IF($D134="","",INDEX('Start List'!$H$15:$H$139,MATCH($D134,'Start List'!$B$15:$B$139,0)))</f>
        <v/>
      </c>
      <c r="M134" s="79" t="str">
        <f ca="1">IF($D134="","",INDEX('Start List'!$F$15:$F$139,MATCH($D134,'Start List'!$B$15:$B$139,0)))</f>
        <v/>
      </c>
      <c r="N134" s="80" t="str">
        <f ca="1">IF($D134="","",INDEX('Start List'!K$15:K$139,MATCH($D134,'Start List'!$B$15:$B$139,0)))</f>
        <v/>
      </c>
      <c r="O134" s="80" t="str">
        <f ca="1">IF($D134="","",INDEX('Start List'!L$15:L$139,MATCH($D134,'Start List'!$B$15:$B$139,0)))</f>
        <v/>
      </c>
      <c r="P134" s="80" t="str">
        <f ca="1">IF($D134="","",INDEX('Start List'!M$15:M$139,MATCH($D134,'Start List'!$B$15:$B$139,0)))</f>
        <v/>
      </c>
      <c r="Q134" s="80" t="str">
        <f ca="1">IF($D134="","",INDEX('Start List'!N$15:N$139,MATCH($D134,'Start List'!$B$15:$B$139,0)))</f>
        <v/>
      </c>
      <c r="R134" s="80" t="str">
        <f ca="1">IF($D134="","",INDEX('Start List'!O$15:O$139,MATCH($D134,'Start List'!$B$15:$B$139,0)))</f>
        <v/>
      </c>
      <c r="S134" s="80" t="str">
        <f ca="1">IF($D134="","",INDEX('Start List'!P$15:P$139,MATCH($D134,'Start List'!$B$15:$B$139,0)))</f>
        <v/>
      </c>
      <c r="T134" s="80" t="str">
        <f ca="1">IF($D134="","",INDEX('Start List'!Q$15:Q$139,MATCH($D134,'Start List'!$B$15:$B$139,0)))</f>
        <v/>
      </c>
      <c r="U134" s="80" t="str">
        <f ca="1">IF($D134="","",INDEX('Start List'!R$15:R$139,MATCH($D134,'Start List'!$B$15:$B$139,0)))</f>
        <v/>
      </c>
      <c r="V134" s="80" t="str">
        <f ca="1">IF($D134="","",INDEX('Start List'!S$15:S$139,MATCH($D134,'Start List'!$B$15:$B$139,0)))</f>
        <v/>
      </c>
      <c r="W134" s="80" t="str">
        <f ca="1">IF($D134="","",INDEX('Start List'!T$15:T$139,MATCH($D134,'Start List'!$B$15:$B$139,0)))</f>
        <v/>
      </c>
      <c r="X134" s="80" t="str">
        <f ca="1">IF($D134="","",INDEX('Start List'!U$15:U$139,MATCH($D134,'Start List'!$B$15:$B$139,0)))</f>
        <v/>
      </c>
      <c r="Y134" s="80" t="str">
        <f ca="1">IF($D134="","",INDEX('Start List'!V$15:V$139,MATCH($D134,'Start List'!$B$15:$B$139,0)))</f>
        <v/>
      </c>
      <c r="Z134" s="80" t="str">
        <f ca="1">IF($D134="","",INDEX('Start List'!W$15:W$139,MATCH($D134,'Start List'!$B$15:$B$139,0)))</f>
        <v/>
      </c>
      <c r="AA134" s="80" t="str">
        <f ca="1">IF($D134="","",INDEX('Start List'!X$15:X$139,MATCH($D134,'Start List'!$B$15:$B$139,0)))</f>
        <v/>
      </c>
      <c r="AB134" s="80" t="str">
        <f ca="1">IF($D134="","",INDEX('Start List'!Y$15:Y$139,MATCH($D134,'Start List'!$B$15:$B$139,0)))</f>
        <v/>
      </c>
    </row>
    <row r="135" spans="1:28" ht="12.75" x14ac:dyDescent="0.2">
      <c r="A135" s="59" t="str">
        <f>IF(OR(COUNT('Start List'!A:A)+COUNTIF('Start List'!$I$9:$I$14,"&lt;21")='By Category'!A134,A134=""),"",'By Category'!A134+1)</f>
        <v/>
      </c>
      <c r="B135" s="74" t="str">
        <f>IF(A135="","",VLOOKUP(SMALL('Start List'!$I$9:$I$139,A135),'Start List'!$I$9:$J$14,2,FALSE))</f>
        <v/>
      </c>
      <c r="C135" s="75" t="str">
        <f>IF(OR(B135="",COUNTIF($B$9:B135,B135)=1),"",COUNTIF($B$9:B135,B135)-1)</f>
        <v/>
      </c>
      <c r="D135" s="227" t="str">
        <f ca="1">IF(""=C135,"",LARGE(INDIRECT(VLOOKUP(B135,'Start List'!$J$9:$N$14,5,FALSE)),C135))</f>
        <v/>
      </c>
      <c r="E135" s="79" t="str">
        <f>IF(C135="","",VLOOKUP(B135,Data!$AK$2:$AN$7,4,FALSE)&amp;C135)</f>
        <v/>
      </c>
      <c r="F135" s="80" t="str">
        <f>IF(COUNTIF(Data!$D$2:$D$97,'By Category'!$E135)=0,"",VLOOKUP('By Category'!$E135,Data!$D$2:$H$97,'By Category'!F$8,FALSE))</f>
        <v/>
      </c>
      <c r="G135" s="80" t="str">
        <f>IF(COUNTIF(Data!$D$2:$D$97,'By Category'!$E135)=0,"",VLOOKUP('By Category'!$E135,Data!$D$2:$H$97,'By Category'!G$8,FALSE))</f>
        <v/>
      </c>
      <c r="H135" s="80" t="str">
        <f>IF(COUNTIF(Data!$D$2:$D$97,'By Category'!$E135)=0,"",VLOOKUP('By Category'!$E135,Data!$D$2:$H$97,'By Category'!H$8,FALSE))</f>
        <v/>
      </c>
      <c r="I135" s="80" t="str">
        <f>IF(COUNTIF(Data!$D$2:$D$97,'By Category'!$E135)=0,"",VLOOKUP('By Category'!$E135,Data!$D$2:$H$97,'By Category'!I$8,FALSE))</f>
        <v/>
      </c>
      <c r="J135" s="77" t="str">
        <f ca="1">IF(B135&lt;&gt;B134,B135,IF($D135="","",INDEX('Start List'!$D$15:$D$139,MATCH($D135,'Start List'!$B$15:$B$139,0))))</f>
        <v/>
      </c>
      <c r="K135" s="77" t="str">
        <f ca="1">IF($D135="","",INDEX('Start List'!$E$15:$E$139,MATCH($D135,'Start List'!$B$15:$B$139,0)))</f>
        <v/>
      </c>
      <c r="L135" s="77" t="str">
        <f ca="1">IF($D135="","",INDEX('Start List'!$H$15:$H$139,MATCH($D135,'Start List'!$B$15:$B$139,0)))</f>
        <v/>
      </c>
      <c r="M135" s="79" t="str">
        <f ca="1">IF($D135="","",INDEX('Start List'!$F$15:$F$139,MATCH($D135,'Start List'!$B$15:$B$139,0)))</f>
        <v/>
      </c>
      <c r="N135" s="80" t="str">
        <f ca="1">IF($D135="","",INDEX('Start List'!K$15:K$139,MATCH($D135,'Start List'!$B$15:$B$139,0)))</f>
        <v/>
      </c>
      <c r="O135" s="80" t="str">
        <f ca="1">IF($D135="","",INDEX('Start List'!L$15:L$139,MATCH($D135,'Start List'!$B$15:$B$139,0)))</f>
        <v/>
      </c>
      <c r="P135" s="80" t="str">
        <f ca="1">IF($D135="","",INDEX('Start List'!M$15:M$139,MATCH($D135,'Start List'!$B$15:$B$139,0)))</f>
        <v/>
      </c>
      <c r="Q135" s="80" t="str">
        <f ca="1">IF($D135="","",INDEX('Start List'!N$15:N$139,MATCH($D135,'Start List'!$B$15:$B$139,0)))</f>
        <v/>
      </c>
      <c r="R135" s="80" t="str">
        <f ca="1">IF($D135="","",INDEX('Start List'!O$15:O$139,MATCH($D135,'Start List'!$B$15:$B$139,0)))</f>
        <v/>
      </c>
      <c r="S135" s="80" t="str">
        <f ca="1">IF($D135="","",INDEX('Start List'!P$15:P$139,MATCH($D135,'Start List'!$B$15:$B$139,0)))</f>
        <v/>
      </c>
      <c r="T135" s="80" t="str">
        <f ca="1">IF($D135="","",INDEX('Start List'!Q$15:Q$139,MATCH($D135,'Start List'!$B$15:$B$139,0)))</f>
        <v/>
      </c>
      <c r="U135" s="80" t="str">
        <f ca="1">IF($D135="","",INDEX('Start List'!R$15:R$139,MATCH($D135,'Start List'!$B$15:$B$139,0)))</f>
        <v/>
      </c>
      <c r="V135" s="80" t="str">
        <f ca="1">IF($D135="","",INDEX('Start List'!S$15:S$139,MATCH($D135,'Start List'!$B$15:$B$139,0)))</f>
        <v/>
      </c>
      <c r="W135" s="80" t="str">
        <f ca="1">IF($D135="","",INDEX('Start List'!T$15:T$139,MATCH($D135,'Start List'!$B$15:$B$139,0)))</f>
        <v/>
      </c>
      <c r="X135" s="80" t="str">
        <f ca="1">IF($D135="","",INDEX('Start List'!U$15:U$139,MATCH($D135,'Start List'!$B$15:$B$139,0)))</f>
        <v/>
      </c>
      <c r="Y135" s="80" t="str">
        <f ca="1">IF($D135="","",INDEX('Start List'!V$15:V$139,MATCH($D135,'Start List'!$B$15:$B$139,0)))</f>
        <v/>
      </c>
      <c r="Z135" s="80" t="str">
        <f ca="1">IF($D135="","",INDEX('Start List'!W$15:W$139,MATCH($D135,'Start List'!$B$15:$B$139,0)))</f>
        <v/>
      </c>
      <c r="AA135" s="80" t="str">
        <f ca="1">IF($D135="","",INDEX('Start List'!X$15:X$139,MATCH($D135,'Start List'!$B$15:$B$139,0)))</f>
        <v/>
      </c>
      <c r="AB135" s="80" t="str">
        <f ca="1">IF($D135="","",INDEX('Start List'!Y$15:Y$139,MATCH($D135,'Start List'!$B$15:$B$139,0)))</f>
        <v/>
      </c>
    </row>
    <row r="136" spans="1:28" ht="12.75" x14ac:dyDescent="0.2">
      <c r="A136" s="59" t="str">
        <f>IF(OR(COUNT('Start List'!A:A)+COUNTIF('Start List'!$I$9:$I$14,"&lt;21")='By Category'!A135,A135=""),"",'By Category'!A135+1)</f>
        <v/>
      </c>
      <c r="B136" s="74" t="str">
        <f>IF(A136="","",VLOOKUP(SMALL('Start List'!$I$9:$I$139,A136),'Start List'!$I$9:$J$14,2,FALSE))</f>
        <v/>
      </c>
      <c r="C136" s="75" t="str">
        <f>IF(OR(B136="",COUNTIF($B$9:B136,B136)=1),"",COUNTIF($B$9:B136,B136)-1)</f>
        <v/>
      </c>
      <c r="D136" s="227" t="str">
        <f ca="1">IF(""=C136,"",LARGE(INDIRECT(VLOOKUP(B136,'Start List'!$J$9:$N$14,5,FALSE)),C136))</f>
        <v/>
      </c>
      <c r="E136" s="79" t="str">
        <f>IF(C136="","",VLOOKUP(B136,Data!$AK$2:$AN$7,4,FALSE)&amp;C136)</f>
        <v/>
      </c>
      <c r="F136" s="80" t="str">
        <f>IF(COUNTIF(Data!$D$2:$D$97,'By Category'!$E136)=0,"",VLOOKUP('By Category'!$E136,Data!$D$2:$H$97,'By Category'!F$8,FALSE))</f>
        <v/>
      </c>
      <c r="G136" s="80" t="str">
        <f>IF(COUNTIF(Data!$D$2:$D$97,'By Category'!$E136)=0,"",VLOOKUP('By Category'!$E136,Data!$D$2:$H$97,'By Category'!G$8,FALSE))</f>
        <v/>
      </c>
      <c r="H136" s="80" t="str">
        <f>IF(COUNTIF(Data!$D$2:$D$97,'By Category'!$E136)=0,"",VLOOKUP('By Category'!$E136,Data!$D$2:$H$97,'By Category'!H$8,FALSE))</f>
        <v/>
      </c>
      <c r="I136" s="80" t="str">
        <f>IF(COUNTIF(Data!$D$2:$D$97,'By Category'!$E136)=0,"",VLOOKUP('By Category'!$E136,Data!$D$2:$H$97,'By Category'!I$8,FALSE))</f>
        <v/>
      </c>
      <c r="J136" s="77" t="str">
        <f ca="1">IF(B136&lt;&gt;B135,B136,IF($D136="","",INDEX('Start List'!$D$15:$D$139,MATCH($D136,'Start List'!$B$15:$B$139,0))))</f>
        <v/>
      </c>
      <c r="K136" s="77" t="str">
        <f ca="1">IF($D136="","",INDEX('Start List'!$E$15:$E$139,MATCH($D136,'Start List'!$B$15:$B$139,0)))</f>
        <v/>
      </c>
      <c r="L136" s="77" t="str">
        <f ca="1">IF($D136="","",INDEX('Start List'!$H$15:$H$139,MATCH($D136,'Start List'!$B$15:$B$139,0)))</f>
        <v/>
      </c>
      <c r="M136" s="79" t="str">
        <f ca="1">IF($D136="","",INDEX('Start List'!$F$15:$F$139,MATCH($D136,'Start List'!$B$15:$B$139,0)))</f>
        <v/>
      </c>
      <c r="N136" s="80" t="str">
        <f ca="1">IF($D136="","",INDEX('Start List'!K$15:K$139,MATCH($D136,'Start List'!$B$15:$B$139,0)))</f>
        <v/>
      </c>
      <c r="O136" s="80" t="str">
        <f ca="1">IF($D136="","",INDEX('Start List'!L$15:L$139,MATCH($D136,'Start List'!$B$15:$B$139,0)))</f>
        <v/>
      </c>
      <c r="P136" s="80" t="str">
        <f ca="1">IF($D136="","",INDEX('Start List'!M$15:M$139,MATCH($D136,'Start List'!$B$15:$B$139,0)))</f>
        <v/>
      </c>
      <c r="Q136" s="80" t="str">
        <f ca="1">IF($D136="","",INDEX('Start List'!N$15:N$139,MATCH($D136,'Start List'!$B$15:$B$139,0)))</f>
        <v/>
      </c>
      <c r="R136" s="80" t="str">
        <f ca="1">IF($D136="","",INDEX('Start List'!O$15:O$139,MATCH($D136,'Start List'!$B$15:$B$139,0)))</f>
        <v/>
      </c>
      <c r="S136" s="80" t="str">
        <f ca="1">IF($D136="","",INDEX('Start List'!P$15:P$139,MATCH($D136,'Start List'!$B$15:$B$139,0)))</f>
        <v/>
      </c>
      <c r="T136" s="80" t="str">
        <f ca="1">IF($D136="","",INDEX('Start List'!Q$15:Q$139,MATCH($D136,'Start List'!$B$15:$B$139,0)))</f>
        <v/>
      </c>
      <c r="U136" s="80" t="str">
        <f ca="1">IF($D136="","",INDEX('Start List'!R$15:R$139,MATCH($D136,'Start List'!$B$15:$B$139,0)))</f>
        <v/>
      </c>
      <c r="V136" s="80" t="str">
        <f ca="1">IF($D136="","",INDEX('Start List'!S$15:S$139,MATCH($D136,'Start List'!$B$15:$B$139,0)))</f>
        <v/>
      </c>
      <c r="W136" s="80" t="str">
        <f ca="1">IF($D136="","",INDEX('Start List'!T$15:T$139,MATCH($D136,'Start List'!$B$15:$B$139,0)))</f>
        <v/>
      </c>
      <c r="X136" s="80" t="str">
        <f ca="1">IF($D136="","",INDEX('Start List'!U$15:U$139,MATCH($D136,'Start List'!$B$15:$B$139,0)))</f>
        <v/>
      </c>
      <c r="Y136" s="80" t="str">
        <f ca="1">IF($D136="","",INDEX('Start List'!V$15:V$139,MATCH($D136,'Start List'!$B$15:$B$139,0)))</f>
        <v/>
      </c>
      <c r="Z136" s="80" t="str">
        <f ca="1">IF($D136="","",INDEX('Start List'!W$15:W$139,MATCH($D136,'Start List'!$B$15:$B$139,0)))</f>
        <v/>
      </c>
      <c r="AA136" s="80" t="str">
        <f ca="1">IF($D136="","",INDEX('Start List'!X$15:X$139,MATCH($D136,'Start List'!$B$15:$B$139,0)))</f>
        <v/>
      </c>
      <c r="AB136" s="80" t="str">
        <f ca="1">IF($D136="","",INDEX('Start List'!Y$15:Y$139,MATCH($D136,'Start List'!$B$15:$B$139,0)))</f>
        <v/>
      </c>
    </row>
    <row r="137" spans="1:28" ht="12.75" x14ac:dyDescent="0.2">
      <c r="A137" s="59" t="str">
        <f>IF(OR(COUNT('Start List'!A:A)+COUNTIF('Start List'!$I$9:$I$14,"&lt;21")='By Category'!A136,A136=""),"",'By Category'!A136+1)</f>
        <v/>
      </c>
      <c r="B137" s="74" t="str">
        <f>IF(A137="","",VLOOKUP(SMALL('Start List'!$I$9:$I$139,A137),'Start List'!$I$9:$J$14,2,FALSE))</f>
        <v/>
      </c>
      <c r="C137" s="75" t="str">
        <f>IF(OR(B137="",COUNTIF($B$9:B137,B137)=1),"",COUNTIF($B$9:B137,B137)-1)</f>
        <v/>
      </c>
      <c r="D137" s="227" t="str">
        <f ca="1">IF(""=C137,"",LARGE(INDIRECT(VLOOKUP(B137,'Start List'!$J$9:$N$14,5,FALSE)),C137))</f>
        <v/>
      </c>
      <c r="E137" s="79" t="str">
        <f>IF(C137="","",VLOOKUP(B137,Data!$AK$2:$AN$7,4,FALSE)&amp;C137)</f>
        <v/>
      </c>
      <c r="F137" s="80" t="str">
        <f>IF(COUNTIF(Data!$D$2:$D$97,'By Category'!$E137)=0,"",VLOOKUP('By Category'!$E137,Data!$D$2:$H$97,'By Category'!F$8,FALSE))</f>
        <v/>
      </c>
      <c r="G137" s="80" t="str">
        <f>IF(COUNTIF(Data!$D$2:$D$97,'By Category'!$E137)=0,"",VLOOKUP('By Category'!$E137,Data!$D$2:$H$97,'By Category'!G$8,FALSE))</f>
        <v/>
      </c>
      <c r="H137" s="80" t="str">
        <f>IF(COUNTIF(Data!$D$2:$D$97,'By Category'!$E137)=0,"",VLOOKUP('By Category'!$E137,Data!$D$2:$H$97,'By Category'!H$8,FALSE))</f>
        <v/>
      </c>
      <c r="I137" s="80" t="str">
        <f>IF(COUNTIF(Data!$D$2:$D$97,'By Category'!$E137)=0,"",VLOOKUP('By Category'!$E137,Data!$D$2:$H$97,'By Category'!I$8,FALSE))</f>
        <v/>
      </c>
      <c r="J137" s="77" t="str">
        <f ca="1">IF(B137&lt;&gt;B136,B137,IF($D137="","",INDEX('Start List'!$D$15:$D$139,MATCH($D137,'Start List'!$B$15:$B$139,0))))</f>
        <v/>
      </c>
      <c r="K137" s="77" t="str">
        <f ca="1">IF($D137="","",INDEX('Start List'!$E$15:$E$139,MATCH($D137,'Start List'!$B$15:$B$139,0)))</f>
        <v/>
      </c>
      <c r="L137" s="77" t="str">
        <f ca="1">IF($D137="","",INDEX('Start List'!$H$15:$H$139,MATCH($D137,'Start List'!$B$15:$B$139,0)))</f>
        <v/>
      </c>
      <c r="M137" s="79" t="str">
        <f ca="1">IF($D137="","",INDEX('Start List'!$F$15:$F$139,MATCH($D137,'Start List'!$B$15:$B$139,0)))</f>
        <v/>
      </c>
      <c r="N137" s="80" t="str">
        <f ca="1">IF($D137="","",INDEX('Start List'!K$15:K$139,MATCH($D137,'Start List'!$B$15:$B$139,0)))</f>
        <v/>
      </c>
      <c r="O137" s="80" t="str">
        <f ca="1">IF($D137="","",INDEX('Start List'!L$15:L$139,MATCH($D137,'Start List'!$B$15:$B$139,0)))</f>
        <v/>
      </c>
      <c r="P137" s="80" t="str">
        <f ca="1">IF($D137="","",INDEX('Start List'!M$15:M$139,MATCH($D137,'Start List'!$B$15:$B$139,0)))</f>
        <v/>
      </c>
      <c r="Q137" s="80" t="str">
        <f ca="1">IF($D137="","",INDEX('Start List'!N$15:N$139,MATCH($D137,'Start List'!$B$15:$B$139,0)))</f>
        <v/>
      </c>
      <c r="R137" s="80" t="str">
        <f ca="1">IF($D137="","",INDEX('Start List'!O$15:O$139,MATCH($D137,'Start List'!$B$15:$B$139,0)))</f>
        <v/>
      </c>
      <c r="S137" s="80" t="str">
        <f ca="1">IF($D137="","",INDEX('Start List'!P$15:P$139,MATCH($D137,'Start List'!$B$15:$B$139,0)))</f>
        <v/>
      </c>
      <c r="T137" s="80" t="str">
        <f ca="1">IF($D137="","",INDEX('Start List'!Q$15:Q$139,MATCH($D137,'Start List'!$B$15:$B$139,0)))</f>
        <v/>
      </c>
      <c r="U137" s="80" t="str">
        <f ca="1">IF($D137="","",INDEX('Start List'!R$15:R$139,MATCH($D137,'Start List'!$B$15:$B$139,0)))</f>
        <v/>
      </c>
      <c r="V137" s="80" t="str">
        <f ca="1">IF($D137="","",INDEX('Start List'!S$15:S$139,MATCH($D137,'Start List'!$B$15:$B$139,0)))</f>
        <v/>
      </c>
      <c r="W137" s="80" t="str">
        <f ca="1">IF($D137="","",INDEX('Start List'!T$15:T$139,MATCH($D137,'Start List'!$B$15:$B$139,0)))</f>
        <v/>
      </c>
      <c r="X137" s="80" t="str">
        <f ca="1">IF($D137="","",INDEX('Start List'!U$15:U$139,MATCH($D137,'Start List'!$B$15:$B$139,0)))</f>
        <v/>
      </c>
      <c r="Y137" s="80" t="str">
        <f ca="1">IF($D137="","",INDEX('Start List'!V$15:V$139,MATCH($D137,'Start List'!$B$15:$B$139,0)))</f>
        <v/>
      </c>
      <c r="Z137" s="80" t="str">
        <f ca="1">IF($D137="","",INDEX('Start List'!W$15:W$139,MATCH($D137,'Start List'!$B$15:$B$139,0)))</f>
        <v/>
      </c>
      <c r="AA137" s="80" t="str">
        <f ca="1">IF($D137="","",INDEX('Start List'!X$15:X$139,MATCH($D137,'Start List'!$B$15:$B$139,0)))</f>
        <v/>
      </c>
      <c r="AB137" s="80" t="str">
        <f ca="1">IF($D137="","",INDEX('Start List'!Y$15:Y$139,MATCH($D137,'Start List'!$B$15:$B$139,0)))</f>
        <v/>
      </c>
    </row>
    <row r="138" spans="1:28" ht="12.75" x14ac:dyDescent="0.2">
      <c r="A138" s="59" t="str">
        <f>IF(OR(COUNT('Start List'!A:A)+COUNTIF('Start List'!$I$9:$I$14,"&lt;21")='By Category'!A137,A137=""),"",'By Category'!A137+1)</f>
        <v/>
      </c>
      <c r="B138" s="74" t="str">
        <f>IF(A138="","",VLOOKUP(SMALL('Start List'!$I$9:$I$139,A138),'Start List'!$I$9:$J$14,2,FALSE))</f>
        <v/>
      </c>
      <c r="C138" s="75" t="str">
        <f>IF(OR(B138="",COUNTIF($B$9:B138,B138)=1),"",COUNTIF($B$9:B138,B138)-1)</f>
        <v/>
      </c>
      <c r="D138" s="227" t="str">
        <f ca="1">IF(""=C138,"",LARGE(INDIRECT(VLOOKUP(B138,'Start List'!$J$9:$N$14,5,FALSE)),C138))</f>
        <v/>
      </c>
      <c r="E138" s="79" t="str">
        <f>IF(C138="","",VLOOKUP(B138,Data!$AK$2:$AN$7,4,FALSE)&amp;C138)</f>
        <v/>
      </c>
      <c r="F138" s="80" t="str">
        <f>IF(COUNTIF(Data!$D$2:$D$97,'By Category'!$E138)=0,"",VLOOKUP('By Category'!$E138,Data!$D$2:$H$97,'By Category'!F$8,FALSE))</f>
        <v/>
      </c>
      <c r="G138" s="80" t="str">
        <f>IF(COUNTIF(Data!$D$2:$D$97,'By Category'!$E138)=0,"",VLOOKUP('By Category'!$E138,Data!$D$2:$H$97,'By Category'!G$8,FALSE))</f>
        <v/>
      </c>
      <c r="H138" s="80" t="str">
        <f>IF(COUNTIF(Data!$D$2:$D$97,'By Category'!$E138)=0,"",VLOOKUP('By Category'!$E138,Data!$D$2:$H$97,'By Category'!H$8,FALSE))</f>
        <v/>
      </c>
      <c r="I138" s="80" t="str">
        <f>IF(COUNTIF(Data!$D$2:$D$97,'By Category'!$E138)=0,"",VLOOKUP('By Category'!$E138,Data!$D$2:$H$97,'By Category'!I$8,FALSE))</f>
        <v/>
      </c>
      <c r="J138" s="77" t="str">
        <f ca="1">IF(B138&lt;&gt;B137,B138,IF($D138="","",INDEX('Start List'!$D$15:$D$139,MATCH($D138,'Start List'!$B$15:$B$139,0))))</f>
        <v/>
      </c>
      <c r="K138" s="77" t="str">
        <f ca="1">IF($D138="","",INDEX('Start List'!$E$15:$E$139,MATCH($D138,'Start List'!$B$15:$B$139,0)))</f>
        <v/>
      </c>
      <c r="L138" s="77" t="str">
        <f ca="1">IF($D138="","",INDEX('Start List'!$H$15:$H$139,MATCH($D138,'Start List'!$B$15:$B$139,0)))</f>
        <v/>
      </c>
      <c r="M138" s="79" t="str">
        <f ca="1">IF($D138="","",INDEX('Start List'!$F$15:$F$139,MATCH($D138,'Start List'!$B$15:$B$139,0)))</f>
        <v/>
      </c>
      <c r="N138" s="80" t="str">
        <f ca="1">IF($D138="","",INDEX('Start List'!K$15:K$139,MATCH($D138,'Start List'!$B$15:$B$139,0)))</f>
        <v/>
      </c>
      <c r="O138" s="80" t="str">
        <f ca="1">IF($D138="","",INDEX('Start List'!L$15:L$139,MATCH($D138,'Start List'!$B$15:$B$139,0)))</f>
        <v/>
      </c>
      <c r="P138" s="80" t="str">
        <f ca="1">IF($D138="","",INDEX('Start List'!M$15:M$139,MATCH($D138,'Start List'!$B$15:$B$139,0)))</f>
        <v/>
      </c>
      <c r="Q138" s="80" t="str">
        <f ca="1">IF($D138="","",INDEX('Start List'!N$15:N$139,MATCH($D138,'Start List'!$B$15:$B$139,0)))</f>
        <v/>
      </c>
      <c r="R138" s="80" t="str">
        <f ca="1">IF($D138="","",INDEX('Start List'!O$15:O$139,MATCH($D138,'Start List'!$B$15:$B$139,0)))</f>
        <v/>
      </c>
      <c r="S138" s="80" t="str">
        <f ca="1">IF($D138="","",INDEX('Start List'!P$15:P$139,MATCH($D138,'Start List'!$B$15:$B$139,0)))</f>
        <v/>
      </c>
      <c r="T138" s="80" t="str">
        <f ca="1">IF($D138="","",INDEX('Start List'!Q$15:Q$139,MATCH($D138,'Start List'!$B$15:$B$139,0)))</f>
        <v/>
      </c>
      <c r="U138" s="80" t="str">
        <f ca="1">IF($D138="","",INDEX('Start List'!R$15:R$139,MATCH($D138,'Start List'!$B$15:$B$139,0)))</f>
        <v/>
      </c>
      <c r="V138" s="80" t="str">
        <f ca="1">IF($D138="","",INDEX('Start List'!S$15:S$139,MATCH($D138,'Start List'!$B$15:$B$139,0)))</f>
        <v/>
      </c>
      <c r="W138" s="80" t="str">
        <f ca="1">IF($D138="","",INDEX('Start List'!T$15:T$139,MATCH($D138,'Start List'!$B$15:$B$139,0)))</f>
        <v/>
      </c>
      <c r="X138" s="80" t="str">
        <f ca="1">IF($D138="","",INDEX('Start List'!U$15:U$139,MATCH($D138,'Start List'!$B$15:$B$139,0)))</f>
        <v/>
      </c>
      <c r="Y138" s="80" t="str">
        <f ca="1">IF($D138="","",INDEX('Start List'!V$15:V$139,MATCH($D138,'Start List'!$B$15:$B$139,0)))</f>
        <v/>
      </c>
      <c r="Z138" s="80" t="str">
        <f ca="1">IF($D138="","",INDEX('Start List'!W$15:W$139,MATCH($D138,'Start List'!$B$15:$B$139,0)))</f>
        <v/>
      </c>
      <c r="AA138" s="80" t="str">
        <f ca="1">IF($D138="","",INDEX('Start List'!X$15:X$139,MATCH($D138,'Start List'!$B$15:$B$139,0)))</f>
        <v/>
      </c>
      <c r="AB138" s="80" t="str">
        <f ca="1">IF($D138="","",INDEX('Start List'!Y$15:Y$139,MATCH($D138,'Start List'!$B$15:$B$139,0)))</f>
        <v/>
      </c>
    </row>
    <row r="139" spans="1:28" ht="12.75" x14ac:dyDescent="0.2">
      <c r="A139" s="59" t="str">
        <f>IF(OR(COUNT('Start List'!A:A)+COUNTIF('Start List'!$I$9:$I$14,"&lt;21")='By Category'!A138,A138=""),"",'By Category'!A138+1)</f>
        <v/>
      </c>
      <c r="B139" s="74" t="str">
        <f>IF(A139="","",VLOOKUP(SMALL('Start List'!$I$9:$I$139,A139),'Start List'!$I$9:$J$14,2,FALSE))</f>
        <v/>
      </c>
      <c r="C139" s="75" t="str">
        <f>IF(OR(B139="",COUNTIF($B$9:B139,B139)=1),"",COUNTIF($B$9:B139,B139)-1)</f>
        <v/>
      </c>
      <c r="D139" s="227" t="str">
        <f ca="1">IF(""=C139,"",LARGE(INDIRECT(VLOOKUP(B139,'Start List'!$J$9:$N$14,5,FALSE)),C139))</f>
        <v/>
      </c>
      <c r="E139" s="79" t="str">
        <f>IF(C139="","",VLOOKUP(B139,Data!$AK$2:$AN$7,4,FALSE)&amp;C139)</f>
        <v/>
      </c>
      <c r="F139" s="80" t="str">
        <f>IF(COUNTIF(Data!$D$2:$D$97,'By Category'!$E139)=0,"",VLOOKUP('By Category'!$E139,Data!$D$2:$H$97,'By Category'!F$8,FALSE))</f>
        <v/>
      </c>
      <c r="G139" s="80" t="str">
        <f>IF(COUNTIF(Data!$D$2:$D$97,'By Category'!$E139)=0,"",VLOOKUP('By Category'!$E139,Data!$D$2:$H$97,'By Category'!G$8,FALSE))</f>
        <v/>
      </c>
      <c r="H139" s="80" t="str">
        <f>IF(COUNTIF(Data!$D$2:$D$97,'By Category'!$E139)=0,"",VLOOKUP('By Category'!$E139,Data!$D$2:$H$97,'By Category'!H$8,FALSE))</f>
        <v/>
      </c>
      <c r="I139" s="80" t="str">
        <f>IF(COUNTIF(Data!$D$2:$D$97,'By Category'!$E139)=0,"",VLOOKUP('By Category'!$E139,Data!$D$2:$H$97,'By Category'!I$8,FALSE))</f>
        <v/>
      </c>
      <c r="J139" s="77" t="str">
        <f ca="1">IF(B139&lt;&gt;B138,B139,IF($D139="","",INDEX('Start List'!$D$15:$D$139,MATCH($D139,'Start List'!$B$15:$B$139,0))))</f>
        <v/>
      </c>
      <c r="K139" s="77" t="str">
        <f ca="1">IF($D139="","",INDEX('Start List'!$E$15:$E$139,MATCH($D139,'Start List'!$B$15:$B$139,0)))</f>
        <v/>
      </c>
      <c r="L139" s="77" t="str">
        <f ca="1">IF($D139="","",INDEX('Start List'!$H$15:$H$139,MATCH($D139,'Start List'!$B$15:$B$139,0)))</f>
        <v/>
      </c>
      <c r="M139" s="79" t="str">
        <f ca="1">IF($D139="","",INDEX('Start List'!$F$15:$F$139,MATCH($D139,'Start List'!$B$15:$B$139,0)))</f>
        <v/>
      </c>
      <c r="N139" s="80" t="str">
        <f ca="1">IF($D139="","",INDEX('Start List'!K$15:K$139,MATCH($D139,'Start List'!$B$15:$B$139,0)))</f>
        <v/>
      </c>
      <c r="O139" s="80" t="str">
        <f ca="1">IF($D139="","",INDEX('Start List'!L$15:L$139,MATCH($D139,'Start List'!$B$15:$B$139,0)))</f>
        <v/>
      </c>
      <c r="P139" s="80" t="str">
        <f ca="1">IF($D139="","",INDEX('Start List'!M$15:M$139,MATCH($D139,'Start List'!$B$15:$B$139,0)))</f>
        <v/>
      </c>
      <c r="Q139" s="80" t="str">
        <f ca="1">IF($D139="","",INDEX('Start List'!N$15:N$139,MATCH($D139,'Start List'!$B$15:$B$139,0)))</f>
        <v/>
      </c>
      <c r="R139" s="80" t="str">
        <f ca="1">IF($D139="","",INDEX('Start List'!O$15:O$139,MATCH($D139,'Start List'!$B$15:$B$139,0)))</f>
        <v/>
      </c>
      <c r="S139" s="80" t="str">
        <f ca="1">IF($D139="","",INDEX('Start List'!P$15:P$139,MATCH($D139,'Start List'!$B$15:$B$139,0)))</f>
        <v/>
      </c>
      <c r="T139" s="80" t="str">
        <f ca="1">IF($D139="","",INDEX('Start List'!Q$15:Q$139,MATCH($D139,'Start List'!$B$15:$B$139,0)))</f>
        <v/>
      </c>
      <c r="U139" s="80" t="str">
        <f ca="1">IF($D139="","",INDEX('Start List'!R$15:R$139,MATCH($D139,'Start List'!$B$15:$B$139,0)))</f>
        <v/>
      </c>
      <c r="V139" s="80" t="str">
        <f ca="1">IF($D139="","",INDEX('Start List'!S$15:S$139,MATCH($D139,'Start List'!$B$15:$B$139,0)))</f>
        <v/>
      </c>
      <c r="W139" s="80" t="str">
        <f ca="1">IF($D139="","",INDEX('Start List'!T$15:T$139,MATCH($D139,'Start List'!$B$15:$B$139,0)))</f>
        <v/>
      </c>
      <c r="X139" s="80" t="str">
        <f ca="1">IF($D139="","",INDEX('Start List'!U$15:U$139,MATCH($D139,'Start List'!$B$15:$B$139,0)))</f>
        <v/>
      </c>
      <c r="Y139" s="80" t="str">
        <f ca="1">IF($D139="","",INDEX('Start List'!V$15:V$139,MATCH($D139,'Start List'!$B$15:$B$139,0)))</f>
        <v/>
      </c>
      <c r="Z139" s="80" t="str">
        <f ca="1">IF($D139="","",INDEX('Start List'!W$15:W$139,MATCH($D139,'Start List'!$B$15:$B$139,0)))</f>
        <v/>
      </c>
      <c r="AA139" s="80" t="str">
        <f ca="1">IF($D139="","",INDEX('Start List'!X$15:X$139,MATCH($D139,'Start List'!$B$15:$B$139,0)))</f>
        <v/>
      </c>
      <c r="AB139" s="80" t="str">
        <f ca="1">IF($D139="","",INDEX('Start List'!Y$15:Y$139,MATCH($D139,'Start List'!$B$15:$B$139,0)))</f>
        <v/>
      </c>
    </row>
    <row r="140" spans="1:28" ht="12.75" x14ac:dyDescent="0.2">
      <c r="B140" s="74"/>
    </row>
  </sheetData>
  <sheetProtection password="DA4D" sheet="1" objects="1" scenarios="1"/>
  <sortState ref="J50:Z54">
    <sortCondition ref="J50:J54"/>
  </sortState>
  <mergeCells count="24">
    <mergeCell ref="Z6:Z7"/>
    <mergeCell ref="AA6:AA7"/>
    <mergeCell ref="AB6:AB7"/>
    <mergeCell ref="L6:L7"/>
    <mergeCell ref="P6:P7"/>
    <mergeCell ref="N6:N7"/>
    <mergeCell ref="Q6:Q7"/>
    <mergeCell ref="R6:R7"/>
    <mergeCell ref="A1:AB1"/>
    <mergeCell ref="A2:AB2"/>
    <mergeCell ref="A3:AB3"/>
    <mergeCell ref="A4:AB4"/>
    <mergeCell ref="C6:C7"/>
    <mergeCell ref="J6:J7"/>
    <mergeCell ref="K6:K7"/>
    <mergeCell ref="Y6:Y7"/>
    <mergeCell ref="M6:M7"/>
    <mergeCell ref="U6:U7"/>
    <mergeCell ref="V6:V7"/>
    <mergeCell ref="W6:W7"/>
    <mergeCell ref="X6:X7"/>
    <mergeCell ref="O6:O7"/>
    <mergeCell ref="S6:S7"/>
    <mergeCell ref="T6:T7"/>
  </mergeCells>
  <conditionalFormatting sqref="N9:AB139">
    <cfRule type="expression" dxfId="548" priority="35">
      <formula>OR(N$6=10,N$6="R10",N$6="Notes")</formula>
    </cfRule>
  </conditionalFormatting>
  <conditionalFormatting sqref="C9:AB139">
    <cfRule type="expression" dxfId="547" priority="2">
      <formula>OR($J9="")</formula>
    </cfRule>
    <cfRule type="expression" dxfId="546" priority="4">
      <formula>OR($J9="Men",$J9="Women",$J9="Juniors",$J9="Cadets  ",$J9="Senior Men",$J9="Senior Women",$J9="Muški",$J9="Žene     ",$J9="Juniori   ",$J9="Kadeti     ",$J9="Seniori     ",$J9="Seniorke     ",$J9="Seniors  ",$J9="Muži",$J9="Ženy ",$J9="Junioři",$J9="Kadeti  ",$J9="Senioři  ",$J9="Seniořky  ",$J9="Herren",$J9="Dammen ",$J9="Junioren",$J9="Kadetten ",$J9="Senioren Herren",$J9="Senioren Dammen ",$J9="Senioren  ")</formula>
    </cfRule>
  </conditionalFormatting>
  <conditionalFormatting sqref="N10:AB139">
    <cfRule type="expression" dxfId="545" priority="7">
      <formula>OR(N$6="Σ")</formula>
    </cfRule>
    <cfRule type="expression" dxfId="544" priority="11">
      <formula>OR(N$6="IR300",N$6="65m",N$6="50m",N$6="35m")</formula>
    </cfRule>
  </conditionalFormatting>
  <conditionalFormatting sqref="A1:XFD1048576">
    <cfRule type="expression" dxfId="543" priority="1">
      <formula>OR($D$6&lt;=$D$7)</formula>
    </cfRule>
  </conditionalFormatting>
  <printOptions horizontalCentered="1"/>
  <pageMargins left="0.39370078740157483" right="0.39370078740157483" top="0.59055118110236227" bottom="0.59055118110236227" header="0" footer="0"/>
  <pageSetup paperSize="9" scale="6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B140"/>
  <sheetViews>
    <sheetView showGridLines="0" showRowColHeaders="0" topLeftCell="C1" zoomScaleSheetLayoutView="55" workbookViewId="0">
      <selection activeCell="O24" sqref="O24"/>
    </sheetView>
  </sheetViews>
  <sheetFormatPr defaultColWidth="9.140625" defaultRowHeight="12" x14ac:dyDescent="0.2"/>
  <cols>
    <col min="1" max="1" width="3" style="59" hidden="1" customWidth="1"/>
    <col min="2" max="2" width="8" style="59" hidden="1" customWidth="1"/>
    <col min="3" max="3" width="5.5703125" style="84" customWidth="1"/>
    <col min="4" max="4" width="15.42578125" style="84" hidden="1" customWidth="1"/>
    <col min="5" max="5" width="5.7109375" style="84" hidden="1" customWidth="1"/>
    <col min="6" max="7" width="3.5703125" style="84" hidden="1" customWidth="1"/>
    <col min="8" max="8" width="3.140625" style="223" hidden="1" customWidth="1"/>
    <col min="9" max="9" width="6.42578125" style="223" hidden="1" customWidth="1"/>
    <col min="10" max="10" width="24.7109375" style="85" customWidth="1"/>
    <col min="11" max="11" width="36.28515625" style="84" bestFit="1" customWidth="1"/>
    <col min="12" max="12" width="4.5703125" style="84" hidden="1" customWidth="1"/>
    <col min="13" max="13" width="5" style="84" customWidth="1"/>
    <col min="14" max="24" width="5.7109375" style="84" customWidth="1"/>
    <col min="25" max="25" width="5.7109375" style="86" customWidth="1"/>
    <col min="26" max="26" width="5.7109375" style="62" customWidth="1"/>
    <col min="27" max="28" width="5.7109375" style="66" customWidth="1"/>
    <col min="29" max="16384" width="9.140625" style="62"/>
  </cols>
  <sheetData>
    <row r="1" spans="1:28" s="58" customFormat="1" ht="15.75" customHeight="1" x14ac:dyDescent="0.25">
      <c r="A1" s="243" t="str">
        <f>Settings!C5</f>
        <v>22. BOHEMIA CUP - CROSSBOW FIELD</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28" s="58" customFormat="1" ht="15.75" customHeight="1" x14ac:dyDescent="0.25">
      <c r="A2" s="243" t="str">
        <f>Settings!$C$7&amp;", "&amp;Settings!$C$6</f>
        <v>Nový Stadion, TJ Jiskra, Otrokovice</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row>
    <row r="3" spans="1:28" s="58" customFormat="1" ht="15.75" customHeight="1" x14ac:dyDescent="0.25">
      <c r="A3" s="243" t="str">
        <f>Settings!$C$8</f>
        <v>14.-16. August 2020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row>
    <row r="4" spans="1:28" s="58" customFormat="1" ht="15.75" customHeight="1" x14ac:dyDescent="0.25">
      <c r="A4" s="243" t="s">
        <v>720</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row>
    <row r="5" spans="1:28" ht="13.5" customHeight="1" x14ac:dyDescent="0.2">
      <c r="C5" s="60"/>
      <c r="D5" s="60"/>
      <c r="J5" s="63"/>
      <c r="K5" s="64"/>
      <c r="L5" s="64"/>
      <c r="M5" s="64"/>
      <c r="N5" s="64"/>
      <c r="O5" s="64"/>
      <c r="P5" s="64"/>
      <c r="Q5" s="64"/>
      <c r="R5" s="64"/>
      <c r="S5" s="64"/>
      <c r="T5" s="64"/>
      <c r="U5" s="64"/>
      <c r="V5" s="64"/>
      <c r="W5" s="64"/>
      <c r="X5" s="64"/>
      <c r="Y5" s="65"/>
    </row>
    <row r="6" spans="1:28" ht="13.5" customHeight="1" x14ac:dyDescent="0.2">
      <c r="A6" s="62"/>
      <c r="B6" s="62"/>
      <c r="C6" s="241" t="s">
        <v>0</v>
      </c>
      <c r="D6" s="224">
        <f>Data!AW4</f>
        <v>44062</v>
      </c>
      <c r="E6" s="54"/>
      <c r="F6" s="223"/>
      <c r="G6" s="223"/>
      <c r="J6" s="246" t="str">
        <f>'Start List'!D6:D7</f>
        <v>Competitor</v>
      </c>
      <c r="K6" s="246" t="str">
        <f>'Start List'!E6:E7</f>
        <v>Country</v>
      </c>
      <c r="L6" s="246" t="str">
        <f>'Start List'!H6:H7</f>
        <v>Abbr.</v>
      </c>
      <c r="M6" s="246" t="str">
        <f>'Start List'!F6:F7</f>
        <v>Cat.</v>
      </c>
      <c r="N6" s="246" t="str">
        <f>'Start List'!K6:K7</f>
        <v>65m</v>
      </c>
      <c r="O6" s="246" t="str">
        <f>'Start List'!L6:L7</f>
        <v>R10</v>
      </c>
      <c r="P6" s="246">
        <f>'Start List'!M6:M7</f>
        <v>10</v>
      </c>
      <c r="Q6" s="246" t="str">
        <f>'Start List'!N6:N7</f>
        <v/>
      </c>
      <c r="R6" s="246" t="str">
        <f>'Start List'!O6:O7</f>
        <v>50m</v>
      </c>
      <c r="S6" s="246" t="str">
        <f>'Start List'!P6:P7</f>
        <v>R10</v>
      </c>
      <c r="T6" s="246">
        <f>'Start List'!Q6:Q7</f>
        <v>10</v>
      </c>
      <c r="U6" s="246" t="str">
        <f>'Start List'!R6:R7</f>
        <v/>
      </c>
      <c r="V6" s="246" t="str">
        <f>'Start List'!S6:S7</f>
        <v>35m</v>
      </c>
      <c r="W6" s="246" t="str">
        <f>'Start List'!T6:T7</f>
        <v>R10</v>
      </c>
      <c r="X6" s="246">
        <f>'Start List'!U6:U7</f>
        <v>10</v>
      </c>
      <c r="Y6" s="246" t="str">
        <f>'Start List'!V6:V7</f>
        <v/>
      </c>
      <c r="Z6" s="246" t="str">
        <f>'Start List'!W6:W7</f>
        <v>Σ</v>
      </c>
      <c r="AA6" s="246" t="str">
        <f>'Start List'!X6:X7</f>
        <v>R10</v>
      </c>
      <c r="AB6" s="246">
        <f>'Start List'!Y6:Y7</f>
        <v>10</v>
      </c>
    </row>
    <row r="7" spans="1:28" ht="13.5" customHeight="1" x14ac:dyDescent="0.2">
      <c r="A7" s="62"/>
      <c r="B7" s="62"/>
      <c r="C7" s="241"/>
      <c r="D7" s="224">
        <f ca="1">Data!AW5</f>
        <v>44059.610003935188</v>
      </c>
      <c r="E7" s="54"/>
      <c r="F7" s="223"/>
      <c r="G7" s="223"/>
      <c r="J7" s="246"/>
      <c r="K7" s="246"/>
      <c r="L7" s="246"/>
      <c r="M7" s="246"/>
      <c r="N7" s="246"/>
      <c r="O7" s="246"/>
      <c r="P7" s="246"/>
      <c r="Q7" s="246"/>
      <c r="R7" s="246"/>
      <c r="S7" s="246"/>
      <c r="T7" s="246"/>
      <c r="U7" s="246"/>
      <c r="V7" s="246"/>
      <c r="W7" s="246"/>
      <c r="X7" s="246"/>
      <c r="Y7" s="246"/>
      <c r="Z7" s="246"/>
      <c r="AA7" s="246"/>
      <c r="AB7" s="246"/>
    </row>
    <row r="8" spans="1:28" s="70" customFormat="1" ht="6.75" customHeight="1" x14ac:dyDescent="0.2">
      <c r="A8" s="68"/>
      <c r="B8" s="68"/>
      <c r="C8" s="69"/>
      <c r="D8" s="69">
        <v>1</v>
      </c>
      <c r="E8" s="225"/>
      <c r="F8" s="225">
        <v>2</v>
      </c>
      <c r="G8" s="225">
        <v>3</v>
      </c>
      <c r="H8" s="226">
        <v>4</v>
      </c>
      <c r="I8" s="226">
        <v>5</v>
      </c>
      <c r="J8" s="71">
        <v>2</v>
      </c>
      <c r="K8" s="69">
        <v>3</v>
      </c>
      <c r="L8" s="69">
        <v>4</v>
      </c>
      <c r="M8" s="69">
        <v>5</v>
      </c>
      <c r="N8" s="69">
        <v>8</v>
      </c>
      <c r="O8" s="69">
        <v>9</v>
      </c>
      <c r="P8" s="69">
        <v>10</v>
      </c>
      <c r="Q8" s="69">
        <v>11</v>
      </c>
      <c r="R8" s="69">
        <v>12</v>
      </c>
      <c r="S8" s="69">
        <v>13</v>
      </c>
      <c r="T8" s="69">
        <v>14</v>
      </c>
      <c r="U8" s="69">
        <v>15</v>
      </c>
      <c r="V8" s="69">
        <v>16</v>
      </c>
      <c r="W8" s="69">
        <v>17</v>
      </c>
      <c r="X8" s="69">
        <v>18</v>
      </c>
      <c r="Y8" s="72">
        <v>19</v>
      </c>
      <c r="Z8" s="70">
        <v>20</v>
      </c>
      <c r="AA8" s="73">
        <v>21</v>
      </c>
      <c r="AB8" s="73">
        <v>22</v>
      </c>
    </row>
    <row r="9" spans="1:28" s="78" customFormat="1" ht="12.75" customHeight="1" x14ac:dyDescent="0.2">
      <c r="A9" s="74">
        <v>1</v>
      </c>
      <c r="B9" s="74" t="str">
        <f>'Start List'!J9</f>
        <v>Men</v>
      </c>
      <c r="C9" s="75" t="str">
        <f>IF(OR(B9="",COUNTIF($B$9:B9,B9)=1),"",COUNTIF($B$9:B9,B9)-1)</f>
        <v/>
      </c>
      <c r="D9" s="227" t="str">
        <f ca="1">IF(""=C9,"",LARGE(INDIRECT(VLOOKUP(B9,'Start List'!$P$9:$U$14,7,FALSE)),C9))</f>
        <v/>
      </c>
      <c r="E9" s="79" t="str">
        <f>""</f>
        <v/>
      </c>
      <c r="F9" s="80"/>
      <c r="G9" s="80"/>
      <c r="H9" s="55"/>
      <c r="I9" s="55"/>
      <c r="J9" s="77" t="str">
        <f>IF(B9&lt;&gt;B8,B9,IF($D9="","",INDEX('Start List'!$D$15:$D$139,MATCH($D9,'Start List'!$C$15:$C$139,0))))</f>
        <v>Men</v>
      </c>
      <c r="K9" s="77" t="str">
        <f ca="1">IF($D9="","",INDEX('Start List'!$E$15:$E$139,MATCH($D9,'Start List'!$C$15:$C$139,0)))</f>
        <v/>
      </c>
      <c r="L9" s="77" t="str">
        <f ca="1">IF($D9="","",INDEX('Start List'!$H$15:$H$139,MATCH($D9,'Start List'!$C$15:$C$139,0)))</f>
        <v/>
      </c>
      <c r="M9" s="79" t="str">
        <f ca="1">IF($D9="","",INDEX('Start List'!$F$15:$F$139,MATCH($D9,'Start List'!$C$15:$C$139,0)))</f>
        <v/>
      </c>
      <c r="N9" s="80" t="str">
        <f ca="1">IF($D9="","",INDEX('Start List'!K$15:K$139,MATCH($D9,'Start List'!$C$15:$C$139,0)))</f>
        <v/>
      </c>
      <c r="O9" s="80" t="str">
        <f ca="1">IF($D9="","",INDEX('Start List'!L$15:L$139,MATCH($D9,'Start List'!$C$15:$C$139,0)))</f>
        <v/>
      </c>
      <c r="P9" s="80" t="str">
        <f ca="1">IF($D9="","",INDEX('Start List'!M$15:M$139,MATCH($D9,'Start List'!$C$15:$C$139,0)))</f>
        <v/>
      </c>
      <c r="Q9" s="80" t="str">
        <f ca="1">IF($D9="","",INDEX('Start List'!N$15:N$139,MATCH($D9,'Start List'!$C$15:$C$139,0)))</f>
        <v/>
      </c>
      <c r="R9" s="80" t="str">
        <f ca="1">IF($D9="","",INDEX('Start List'!O$15:O$139,MATCH($D9,'Start List'!$C$15:$C$139,0)))</f>
        <v/>
      </c>
      <c r="S9" s="80" t="str">
        <f ca="1">IF($D9="","",INDEX('Start List'!P$15:P$139,MATCH($D9,'Start List'!$C$15:$C$139,0)))</f>
        <v/>
      </c>
      <c r="T9" s="80" t="str">
        <f ca="1">IF($D9="","",INDEX('Start List'!Q$15:Q$139,MATCH($D9,'Start List'!$C$15:$C$139,0)))</f>
        <v/>
      </c>
      <c r="U9" s="80" t="str">
        <f ca="1">IF($D9="","",INDEX('Start List'!R$15:R$139,MATCH($D9,'Start List'!$C$15:$C$139,0)))</f>
        <v/>
      </c>
      <c r="V9" s="80" t="str">
        <f ca="1">IF($D9="","",INDEX('Start List'!S$15:S$139,MATCH($D9,'Start List'!$C$15:$C$139,0)))</f>
        <v/>
      </c>
      <c r="W9" s="80" t="str">
        <f ca="1">IF($D9="","",INDEX('Start List'!T$15:T$139,MATCH($D9,'Start List'!$C$15:$C$139,0)))</f>
        <v/>
      </c>
      <c r="X9" s="80" t="str">
        <f ca="1">IF($D9="","",INDEX('Start List'!U$15:U$139,MATCH($D9,'Start List'!$C$15:$C$139,0)))</f>
        <v/>
      </c>
      <c r="Y9" s="80" t="str">
        <f ca="1">IF($D9="","",INDEX('Start List'!V$15:V$139,MATCH($D9,'Start List'!$C$15:$C$139,0)))</f>
        <v/>
      </c>
      <c r="Z9" s="80" t="str">
        <f ca="1">IF($D9="","",INDEX('Start List'!W$15:W$139,MATCH($D9,'Start List'!$C$15:$C$139,0)))</f>
        <v/>
      </c>
      <c r="AA9" s="80" t="str">
        <f ca="1">IF($D9="","",INDEX('Start List'!X$15:X$139,MATCH($D9,'Start List'!$C$15:$C$139,0)))</f>
        <v/>
      </c>
      <c r="AB9" s="80" t="str">
        <f ca="1">IF($D9="","",INDEX('Start List'!Y$15:Y$139,MATCH($D9,'Start List'!$C$15:$C$139,0)))</f>
        <v/>
      </c>
    </row>
    <row r="10" spans="1:28" ht="12.75" customHeight="1" x14ac:dyDescent="0.2">
      <c r="A10" s="59">
        <f>IF(OR(COUNT('Start List'!A:A)+2='Men-Women'!A9,A9=""),"",'Men-Women'!A9+1)</f>
        <v>2</v>
      </c>
      <c r="B10" s="228" t="str">
        <f>IF(A10="","",IF(COUNTIF($B$9:B9,$B$9)-1=COUNTIF('Start List'!C:C,"&gt;999"),'Start List'!$J$10,'Start List'!$J$9))</f>
        <v>Men</v>
      </c>
      <c r="C10" s="75">
        <f>IF(OR(B10="",COUNTIF($B$9:B10,B10)=1),"",COUNTIF($B$9:B10,B10)-1)</f>
        <v>1</v>
      </c>
      <c r="D10" s="227">
        <f ca="1">IF(""=C10,"",IF(COUNTIF($D$9:D9,"")=2,LARGE('Start List'!C:C,A8),LARGE('Start List'!C:C,A9)))</f>
        <v>1869.422098</v>
      </c>
      <c r="E10" s="79" t="str">
        <f>IF(C10="","",VLOOKUP(B10,Data!$AK$2:$AN$7,4,FALSE)&amp;C10)</f>
        <v>M1</v>
      </c>
      <c r="F10" s="80">
        <f>IF(COUNTIF(Data!$D$2:$D$97,'Men-Women'!$E10)=0,"",VLOOKUP('Men-Women'!$E10,Data!$D$2:$H$97,'Men-Women'!F$8,FALSE))</f>
        <v>1</v>
      </c>
      <c r="G10" s="80">
        <f>IF(COUNTIF(Data!$D$2:$D$97,'Men-Women'!$E10)=0,"",VLOOKUP('Men-Women'!$E10,Data!$D$2:$H$97,'Men-Women'!G$8,FALSE))</f>
        <v>1</v>
      </c>
      <c r="H10" s="80">
        <f>IF(COUNTIF(Data!$D$2:$D$97,'Men-Women'!$E10)=0,"",VLOOKUP('Men-Women'!$E10,Data!$D$2:$H$97,'Men-Women'!H$8,FALSE))</f>
        <v>5</v>
      </c>
      <c r="I10" s="80">
        <f>IF(COUNTIF(Data!$D$2:$D$97,'Men-Women'!$E10)=0,"",VLOOKUP('Men-Women'!$E10,Data!$D$2:$H$97,'Men-Women'!I$8,FALSE))</f>
        <v>10</v>
      </c>
      <c r="J10" s="77" t="str">
        <f ca="1">IF(B10&lt;&gt;B9,B10,IF($D10="","",INDEX('Start List'!$D$15:$D$139,MATCH($D10,'Start List'!$C$15:$C$139,0))))</f>
        <v>Korbař Bohumil</v>
      </c>
      <c r="K10" s="77" t="str">
        <f ca="1">IF($D10="","",INDEX('Start List'!$E$15:$E$139,MATCH($D10,'Start List'!$C$15:$C$139,0)))</f>
        <v>CZE - Plumlov</v>
      </c>
      <c r="L10" s="77" t="e">
        <f ca="1">IF($D10="","",INDEX('Start List'!$H$15:$H$139,MATCH($D10,'Start List'!$C$15:$C$139,0)))</f>
        <v>#N/A</v>
      </c>
      <c r="M10" s="79" t="str">
        <f ca="1">IF($D10="","",INDEX('Start List'!$F$15:$F$139,MATCH($D10,'Start List'!$C$15:$C$139,0)))</f>
        <v>M</v>
      </c>
      <c r="N10" s="80">
        <f ca="1">IF($D10="","",INDEX('Start List'!K$15:K$139,MATCH($D10,'Start List'!$C$15:$C$139,0)))</f>
        <v>280</v>
      </c>
      <c r="O10" s="80">
        <f ca="1">IF($D10="","",INDEX('Start List'!L$15:L$139,MATCH($D10,'Start List'!$C$15:$C$139,0)))</f>
        <v>9</v>
      </c>
      <c r="P10" s="80">
        <f ca="1">IF($D10="","",INDEX('Start List'!M$15:M$139,MATCH($D10,'Start List'!$C$15:$C$139,0)))</f>
        <v>5</v>
      </c>
      <c r="Q10" s="80" t="str">
        <f ca="1">IF($D10="","",INDEX('Start List'!N$15:N$139,MATCH($D10,'Start List'!$C$15:$C$139,0)))</f>
        <v/>
      </c>
      <c r="R10" s="80">
        <f ca="1">IF($D10="","",INDEX('Start List'!O$15:O$139,MATCH($D10,'Start List'!$C$15:$C$139,0)))</f>
        <v>295</v>
      </c>
      <c r="S10" s="80">
        <f ca="1">IF($D10="","",INDEX('Start List'!P$15:P$139,MATCH($D10,'Start List'!$C$15:$C$139,0)))</f>
        <v>18</v>
      </c>
      <c r="T10" s="80">
        <f ca="1">IF($D10="","",INDEX('Start List'!Q$15:Q$139,MATCH($D10,'Start List'!$C$15:$C$139,0)))</f>
        <v>7</v>
      </c>
      <c r="U10" s="80" t="str">
        <f ca="1">IF($D10="","",INDEX('Start List'!R$15:R$139,MATCH($D10,'Start List'!$C$15:$C$139,0)))</f>
        <v/>
      </c>
      <c r="V10" s="80">
        <f ca="1">IF($D10="","",INDEX('Start List'!S$15:S$139,MATCH($D10,'Start List'!$C$15:$C$139,0)))</f>
        <v>294</v>
      </c>
      <c r="W10" s="80">
        <f ca="1">IF($D10="","",INDEX('Start List'!T$15:T$139,MATCH($D10,'Start List'!$C$15:$C$139,0)))</f>
        <v>15</v>
      </c>
      <c r="X10" s="80">
        <f ca="1">IF($D10="","",INDEX('Start List'!U$15:U$139,MATCH($D10,'Start List'!$C$15:$C$139,0)))</f>
        <v>9</v>
      </c>
      <c r="Y10" s="80" t="str">
        <f ca="1">IF($D10="","",INDEX('Start List'!V$15:V$139,MATCH($D10,'Start List'!$C$15:$C$139,0)))</f>
        <v/>
      </c>
      <c r="Z10" s="80">
        <f ca="1">IF($D10="","",INDEX('Start List'!W$15:W$139,MATCH($D10,'Start List'!$C$15:$C$139,0)))</f>
        <v>869</v>
      </c>
      <c r="AA10" s="80">
        <f ca="1">IF($D10="","",INDEX('Start List'!X$15:X$139,MATCH($D10,'Start List'!$C$15:$C$139,0)))</f>
        <v>42</v>
      </c>
      <c r="AB10" s="80">
        <f ca="1">IF($D10="","",INDEX('Start List'!Y$15:Y$139,MATCH($D10,'Start List'!$C$15:$C$139,0)))</f>
        <v>21</v>
      </c>
    </row>
    <row r="11" spans="1:28" ht="12.75" customHeight="1" x14ac:dyDescent="0.2">
      <c r="A11" s="59">
        <f>IF(OR(COUNT('Start List'!A:A)+2='Men-Women'!A10,A10=""),"",'Men-Women'!A10+1)</f>
        <v>3</v>
      </c>
      <c r="B11" s="228" t="str">
        <f>IF(A11="","",IF(COUNTIF($B$9:B10,$B$9)-1=COUNTIF('Start List'!C:C,"&gt;999"),'Start List'!$J$10,'Start List'!$J$9))</f>
        <v>Men</v>
      </c>
      <c r="C11" s="75">
        <f>IF(OR(B11="",COUNTIF($B$9:B11,B11)=1),"",COUNTIF($B$9:B11,B11)-1)</f>
        <v>2</v>
      </c>
      <c r="D11" s="227">
        <f ca="1">IF(""=C11,"",IF(COUNTIF($D$9:D10,"")=2,LARGE('Start List'!C:C,A9),LARGE('Start List'!C:C,A10)))</f>
        <v>1865.4019989999999</v>
      </c>
      <c r="E11" s="79" t="str">
        <f>IF(C11="","",VLOOKUP(B11,Data!$AK$2:$AN$7,4,FALSE)&amp;C11)</f>
        <v>M2</v>
      </c>
      <c r="F11" s="80">
        <f>IF(COUNTIF(Data!$D$2:$D$97,'Men-Women'!$E11)=0,"",VLOOKUP('Men-Women'!$E11,Data!$D$2:$H$97,'Men-Women'!F$8,FALSE))</f>
        <v>9</v>
      </c>
      <c r="G11" s="80">
        <f>IF(COUNTIF(Data!$D$2:$D$97,'Men-Women'!$E11)=0,"",VLOOKUP('Men-Women'!$E11,Data!$D$2:$H$97,'Men-Women'!G$8,FALSE))</f>
        <v>5</v>
      </c>
      <c r="H11" s="80">
        <f>IF(COUNTIF(Data!$D$2:$D$97,'Men-Women'!$E11)=0,"",VLOOKUP('Men-Women'!$E11,Data!$D$2:$H$97,'Men-Women'!H$8,FALSE))</f>
        <v>2</v>
      </c>
      <c r="I11" s="80">
        <f>IF(COUNTIF(Data!$D$2:$D$97,'Men-Women'!$E11)=0,"",VLOOKUP('Men-Women'!$E11,Data!$D$2:$H$97,'Men-Women'!I$8,FALSE))</f>
        <v>11</v>
      </c>
      <c r="J11" s="77" t="str">
        <f ca="1">IF(B11&lt;&gt;B10,B11,IF($D11="","",INDEX('Start List'!$D$15:$D$139,MATCH($D11,'Start List'!$C$15:$C$139,0))))</f>
        <v>Pereglin Domagoj</v>
      </c>
      <c r="K11" s="77" t="str">
        <f ca="1">IF($D11="","",INDEX('Start List'!$E$15:$E$139,MATCH($D11,'Start List'!$C$15:$C$139,0)))</f>
        <v>CRO</v>
      </c>
      <c r="L11" s="77" t="e">
        <f ca="1">IF($D11="","",INDEX('Start List'!$H$15:$H$139,MATCH($D11,'Start List'!$C$15:$C$139,0)))</f>
        <v>#N/A</v>
      </c>
      <c r="M11" s="79" t="str">
        <f ca="1">IF($D11="","",INDEX('Start List'!$F$15:$F$139,MATCH($D11,'Start List'!$C$15:$C$139,0)))</f>
        <v>M</v>
      </c>
      <c r="N11" s="80">
        <f ca="1">IF($D11="","",INDEX('Start List'!K$15:K$139,MATCH($D11,'Start List'!$C$15:$C$139,0)))</f>
        <v>280</v>
      </c>
      <c r="O11" s="80">
        <f ca="1">IF($D11="","",INDEX('Start List'!L$15:L$139,MATCH($D11,'Start List'!$C$15:$C$139,0)))</f>
        <v>8</v>
      </c>
      <c r="P11" s="80">
        <f ca="1">IF($D11="","",INDEX('Start List'!M$15:M$139,MATCH($D11,'Start List'!$C$15:$C$139,0)))</f>
        <v>6</v>
      </c>
      <c r="Q11" s="80" t="str">
        <f ca="1">IF($D11="","",INDEX('Start List'!N$15:N$139,MATCH($D11,'Start List'!$C$15:$C$139,0)))</f>
        <v/>
      </c>
      <c r="R11" s="80">
        <f ca="1">IF($D11="","",INDEX('Start List'!O$15:O$139,MATCH($D11,'Start List'!$C$15:$C$139,0)))</f>
        <v>293</v>
      </c>
      <c r="S11" s="80">
        <f ca="1">IF($D11="","",INDEX('Start List'!P$15:P$139,MATCH($D11,'Start List'!$C$15:$C$139,0)))</f>
        <v>15</v>
      </c>
      <c r="T11" s="80">
        <f ca="1">IF($D11="","",INDEX('Start List'!Q$15:Q$139,MATCH($D11,'Start List'!$C$15:$C$139,0)))</f>
        <v>9</v>
      </c>
      <c r="U11" s="80" t="str">
        <f ca="1">IF($D11="","",INDEX('Start List'!R$15:R$139,MATCH($D11,'Start List'!$C$15:$C$139,0)))</f>
        <v/>
      </c>
      <c r="V11" s="80">
        <f ca="1">IF($D11="","",INDEX('Start List'!S$15:S$139,MATCH($D11,'Start List'!$C$15:$C$139,0)))</f>
        <v>292</v>
      </c>
      <c r="W11" s="80">
        <f ca="1">IF($D11="","",INDEX('Start List'!T$15:T$139,MATCH($D11,'Start List'!$C$15:$C$139,0)))</f>
        <v>17</v>
      </c>
      <c r="X11" s="80">
        <f ca="1">IF($D11="","",INDEX('Start List'!U$15:U$139,MATCH($D11,'Start List'!$C$15:$C$139,0)))</f>
        <v>5</v>
      </c>
      <c r="Y11" s="80" t="str">
        <f ca="1">IF($D11="","",INDEX('Start List'!V$15:V$139,MATCH($D11,'Start List'!$C$15:$C$139,0)))</f>
        <v/>
      </c>
      <c r="Z11" s="80">
        <f ca="1">IF($D11="","",INDEX('Start List'!W$15:W$139,MATCH($D11,'Start List'!$C$15:$C$139,0)))</f>
        <v>865</v>
      </c>
      <c r="AA11" s="80">
        <f ca="1">IF($D11="","",INDEX('Start List'!X$15:X$139,MATCH($D11,'Start List'!$C$15:$C$139,0)))</f>
        <v>40</v>
      </c>
      <c r="AB11" s="80">
        <f ca="1">IF($D11="","",INDEX('Start List'!Y$15:Y$139,MATCH($D11,'Start List'!$C$15:$C$139,0)))</f>
        <v>20</v>
      </c>
    </row>
    <row r="12" spans="1:28" ht="12.75" customHeight="1" x14ac:dyDescent="0.2">
      <c r="A12" s="59">
        <f>IF(OR(COUNT('Start List'!A:A)+2='Men-Women'!A11,A11=""),"",'Men-Women'!A11+1)</f>
        <v>4</v>
      </c>
      <c r="B12" s="228" t="str">
        <f>IF(A12="","",IF(COUNTIF($B$9:B11,$B$9)-1=COUNTIF('Start List'!C:C,"&gt;999"),'Start List'!$J$10,'Start List'!$J$9))</f>
        <v>Men</v>
      </c>
      <c r="C12" s="75">
        <f>IF(OR(B12="",COUNTIF($B$9:B12,B12)=1),"",COUNTIF($B$9:B12,B12)-1)</f>
        <v>3</v>
      </c>
      <c r="D12" s="227">
        <f ca="1">IF(""=C12,"",IF(COUNTIF($D$9:D11,"")=2,LARGE('Start List'!C:C,A10),LARGE('Start List'!C:C,A11)))</f>
        <v>1845.391089</v>
      </c>
      <c r="E12" s="79" t="str">
        <f>IF(C12="","",VLOOKUP(B12,Data!$AK$2:$AN$7,4,FALSE)&amp;C12)</f>
        <v>M3</v>
      </c>
      <c r="F12" s="80">
        <f>IF(COUNTIF(Data!$D$2:$D$97,'Men-Women'!$E12)=0,"",VLOOKUP('Men-Women'!$E12,Data!$D$2:$H$97,'Men-Women'!F$8,FALSE))</f>
        <v>13</v>
      </c>
      <c r="G12" s="80">
        <f>IF(COUNTIF(Data!$D$2:$D$97,'Men-Women'!$E12)=0,"",VLOOKUP('Men-Women'!$E12,Data!$D$2:$H$97,'Men-Women'!G$8,FALSE))</f>
        <v>7</v>
      </c>
      <c r="H12" s="80">
        <f>IF(COUNTIF(Data!$D$2:$D$97,'Men-Women'!$E12)=0,"",VLOOKUP('Men-Women'!$E12,Data!$D$2:$H$97,'Men-Women'!H$8,FALSE))</f>
        <v>3</v>
      </c>
      <c r="I12" s="80">
        <f>IF(COUNTIF(Data!$D$2:$D$97,'Men-Women'!$E12)=0,"",VLOOKUP('Men-Women'!$E12,Data!$D$2:$H$97,'Men-Women'!I$8,FALSE))</f>
        <v>11</v>
      </c>
      <c r="J12" s="77" t="str">
        <f ca="1">IF(B12&lt;&gt;B11,B12,IF($D12="","",INDEX('Start List'!$D$15:$D$139,MATCH($D12,'Start List'!$C$15:$C$139,0))))</f>
        <v>Oborovečki Martin</v>
      </c>
      <c r="K12" s="77" t="str">
        <f ca="1">IF($D12="","",INDEX('Start List'!$E$15:$E$139,MATCH($D12,'Start List'!$C$15:$C$139,0)))</f>
        <v>CRO</v>
      </c>
      <c r="L12" s="77" t="e">
        <f ca="1">IF($D12="","",INDEX('Start List'!$H$15:$H$139,MATCH($D12,'Start List'!$C$15:$C$139,0)))</f>
        <v>#N/A</v>
      </c>
      <c r="M12" s="79" t="str">
        <f ca="1">IF($D12="","",INDEX('Start List'!$F$15:$F$139,MATCH($D12,'Start List'!$C$15:$C$139,0)))</f>
        <v>J</v>
      </c>
      <c r="N12" s="80">
        <f ca="1">IF($D12="","",INDEX('Start List'!K$15:K$139,MATCH($D12,'Start List'!$C$15:$C$139,0)))</f>
        <v>267</v>
      </c>
      <c r="O12" s="80">
        <f ca="1">IF($D12="","",INDEX('Start List'!L$15:L$139,MATCH($D12,'Start List'!$C$15:$C$139,0)))</f>
        <v>7</v>
      </c>
      <c r="P12" s="80">
        <f ca="1">IF($D12="","",INDEX('Start List'!M$15:M$139,MATCH($D12,'Start List'!$C$15:$C$139,0)))</f>
        <v>4</v>
      </c>
      <c r="Q12" s="80" t="str">
        <f ca="1">IF($D12="","",INDEX('Start List'!N$15:N$139,MATCH($D12,'Start List'!$C$15:$C$139,0)))</f>
        <v/>
      </c>
      <c r="R12" s="80">
        <f ca="1">IF($D12="","",INDEX('Start List'!O$15:O$139,MATCH($D12,'Start List'!$C$15:$C$139,0)))</f>
        <v>292</v>
      </c>
      <c r="S12" s="80">
        <f ca="1">IF($D12="","",INDEX('Start List'!P$15:P$139,MATCH($D12,'Start List'!$C$15:$C$139,0)))</f>
        <v>19</v>
      </c>
      <c r="T12" s="80">
        <f ca="1">IF($D12="","",INDEX('Start List'!Q$15:Q$139,MATCH($D12,'Start List'!$C$15:$C$139,0)))</f>
        <v>3</v>
      </c>
      <c r="U12" s="80" t="str">
        <f ca="1">IF($D12="","",INDEX('Start List'!R$15:R$139,MATCH($D12,'Start List'!$C$15:$C$139,0)))</f>
        <v/>
      </c>
      <c r="V12" s="80">
        <f ca="1">IF($D12="","",INDEX('Start List'!S$15:S$139,MATCH($D12,'Start List'!$C$15:$C$139,0)))</f>
        <v>286</v>
      </c>
      <c r="W12" s="80">
        <f ca="1">IF($D12="","",INDEX('Start List'!T$15:T$139,MATCH($D12,'Start List'!$C$15:$C$139,0)))</f>
        <v>13</v>
      </c>
      <c r="X12" s="80">
        <f ca="1">IF($D12="","",INDEX('Start List'!U$15:U$139,MATCH($D12,'Start List'!$C$15:$C$139,0)))</f>
        <v>4</v>
      </c>
      <c r="Y12" s="80" t="str">
        <f ca="1">IF($D12="","",INDEX('Start List'!V$15:V$139,MATCH($D12,'Start List'!$C$15:$C$139,0)))</f>
        <v/>
      </c>
      <c r="Z12" s="80">
        <f ca="1">IF($D12="","",INDEX('Start List'!W$15:W$139,MATCH($D12,'Start List'!$C$15:$C$139,0)))</f>
        <v>845</v>
      </c>
      <c r="AA12" s="80">
        <f ca="1">IF($D12="","",INDEX('Start List'!X$15:X$139,MATCH($D12,'Start List'!$C$15:$C$139,0)))</f>
        <v>39</v>
      </c>
      <c r="AB12" s="80">
        <f ca="1">IF($D12="","",INDEX('Start List'!Y$15:Y$139,MATCH($D12,'Start List'!$C$15:$C$139,0)))</f>
        <v>11</v>
      </c>
    </row>
    <row r="13" spans="1:28" s="78" customFormat="1" ht="12.75" customHeight="1" x14ac:dyDescent="0.2">
      <c r="A13" s="59">
        <f>IF(OR(COUNT('Start List'!A:A)+2='Men-Women'!A12,A12=""),"",'Men-Women'!A12+1)</f>
        <v>5</v>
      </c>
      <c r="B13" s="228" t="str">
        <f>IF(A13="","",IF(COUNTIF($B$9:B12,$B$9)-1=COUNTIF('Start List'!C:C,"&gt;999"),'Start List'!$J$10,'Start List'!$J$9))</f>
        <v>Men</v>
      </c>
      <c r="C13" s="75">
        <f>IF(OR(B13="",COUNTIF($B$9:B13,B13)=1),"",COUNTIF($B$9:B13,B13)-1)</f>
        <v>4</v>
      </c>
      <c r="D13" s="227">
        <f ca="1">IF(""=C13,"",IF(COUNTIF($D$9:D12,"")=2,LARGE('Start List'!C:C,A11),LARGE('Start List'!C:C,A12)))</f>
        <v>1840.3211960000001</v>
      </c>
      <c r="E13" s="79" t="str">
        <f>IF(C13="","",VLOOKUP(B13,Data!$AK$2:$AN$7,4,FALSE)&amp;C13)</f>
        <v>M4</v>
      </c>
      <c r="F13" s="80">
        <f>IF(COUNTIF(Data!$D$2:$D$97,'Men-Women'!$E13)=0,"",VLOOKUP('Men-Women'!$E13,Data!$D$2:$H$97,'Men-Women'!F$8,FALSE))</f>
        <v>5</v>
      </c>
      <c r="G13" s="80">
        <f>IF(COUNTIF(Data!$D$2:$D$97,'Men-Women'!$E13)=0,"",VLOOKUP('Men-Women'!$E13,Data!$D$2:$H$97,'Men-Women'!G$8,FALSE))</f>
        <v>3</v>
      </c>
      <c r="H13" s="80">
        <f>IF(COUNTIF(Data!$D$2:$D$97,'Men-Women'!$E13)=0,"",VLOOKUP('Men-Women'!$E13,Data!$D$2:$H$97,'Men-Women'!H$8,FALSE))</f>
        <v>6</v>
      </c>
      <c r="I13" s="80">
        <f>IF(COUNTIF(Data!$D$2:$D$97,'Men-Women'!$E13)=0,"",VLOOKUP('Men-Women'!$E13,Data!$D$2:$H$97,'Men-Women'!I$8,FALSE))</f>
        <v>10</v>
      </c>
      <c r="J13" s="77" t="str">
        <f ca="1">IF(B13&lt;&gt;B12,B13,IF($D13="","",INDEX('Start List'!$D$15:$D$139,MATCH($D13,'Start List'!$C$15:$C$139,0))))</f>
        <v>Sváb Sándor</v>
      </c>
      <c r="K13" s="77" t="str">
        <f ca="1">IF($D13="","",INDEX('Start List'!$E$15:$E$139,MATCH($D13,'Start List'!$C$15:$C$139,0)))</f>
        <v>HUN - Hungarian Shooting Federation</v>
      </c>
      <c r="L13" s="77" t="e">
        <f ca="1">IF($D13="","",INDEX('Start List'!$H$15:$H$139,MATCH($D13,'Start List'!$C$15:$C$139,0)))</f>
        <v>#N/A</v>
      </c>
      <c r="M13" s="79" t="str">
        <f ca="1">IF($D13="","",INDEX('Start List'!$F$15:$F$139,MATCH($D13,'Start List'!$C$15:$C$139,0)))</f>
        <v>M</v>
      </c>
      <c r="N13" s="80">
        <f ca="1">IF($D13="","",INDEX('Start List'!K$15:K$139,MATCH($D13,'Start List'!$C$15:$C$139,0)))</f>
        <v>268</v>
      </c>
      <c r="O13" s="80">
        <f ca="1">IF($D13="","",INDEX('Start List'!L$15:L$139,MATCH($D13,'Start List'!$C$15:$C$139,0)))</f>
        <v>7</v>
      </c>
      <c r="P13" s="80">
        <f ca="1">IF($D13="","",INDEX('Start List'!M$15:M$139,MATCH($D13,'Start List'!$C$15:$C$139,0)))</f>
        <v>1</v>
      </c>
      <c r="Q13" s="80" t="str">
        <f ca="1">IF($D13="","",INDEX('Start List'!N$15:N$139,MATCH($D13,'Start List'!$C$15:$C$139,0)))</f>
        <v/>
      </c>
      <c r="R13" s="80">
        <f ca="1">IF($D13="","",INDEX('Start List'!O$15:O$139,MATCH($D13,'Start List'!$C$15:$C$139,0)))</f>
        <v>283</v>
      </c>
      <c r="S13" s="80">
        <f ca="1">IF($D13="","",INDEX('Start List'!P$15:P$139,MATCH($D13,'Start List'!$C$15:$C$139,0)))</f>
        <v>12</v>
      </c>
      <c r="T13" s="80">
        <f ca="1">IF($D13="","",INDEX('Start List'!Q$15:Q$139,MATCH($D13,'Start List'!$C$15:$C$139,0)))</f>
        <v>4</v>
      </c>
      <c r="U13" s="80" t="str">
        <f ca="1">IF($D13="","",INDEX('Start List'!R$15:R$139,MATCH($D13,'Start List'!$C$15:$C$139,0)))</f>
        <v/>
      </c>
      <c r="V13" s="80">
        <f ca="1">IF($D13="","",INDEX('Start List'!S$15:S$139,MATCH($D13,'Start List'!$C$15:$C$139,0)))</f>
        <v>289</v>
      </c>
      <c r="W13" s="80">
        <f ca="1">IF($D13="","",INDEX('Start List'!T$15:T$139,MATCH($D13,'Start List'!$C$15:$C$139,0)))</f>
        <v>13</v>
      </c>
      <c r="X13" s="80">
        <f ca="1">IF($D13="","",INDEX('Start List'!U$15:U$139,MATCH($D13,'Start List'!$C$15:$C$139,0)))</f>
        <v>7</v>
      </c>
      <c r="Y13" s="80" t="str">
        <f ca="1">IF($D13="","",INDEX('Start List'!V$15:V$139,MATCH($D13,'Start List'!$C$15:$C$139,0)))</f>
        <v/>
      </c>
      <c r="Z13" s="80">
        <f ca="1">IF($D13="","",INDEX('Start List'!W$15:W$139,MATCH($D13,'Start List'!$C$15:$C$139,0)))</f>
        <v>840</v>
      </c>
      <c r="AA13" s="80">
        <f ca="1">IF($D13="","",INDEX('Start List'!X$15:X$139,MATCH($D13,'Start List'!$C$15:$C$139,0)))</f>
        <v>32</v>
      </c>
      <c r="AB13" s="80">
        <f ca="1">IF($D13="","",INDEX('Start List'!Y$15:Y$139,MATCH($D13,'Start List'!$C$15:$C$139,0)))</f>
        <v>12</v>
      </c>
    </row>
    <row r="14" spans="1:28" ht="12.75" customHeight="1" x14ac:dyDescent="0.2">
      <c r="A14" s="59">
        <f>IF(OR(COUNT('Start List'!A:A)+2='Men-Women'!A13,A13=""),"",'Men-Women'!A13+1)</f>
        <v>6</v>
      </c>
      <c r="B14" s="228" t="str">
        <f>IF(A14="","",IF(COUNTIF($B$9:B13,$B$9)-1=COUNTIF('Start List'!C:C,"&gt;999"),'Start List'!$J$10,'Start List'!$J$9))</f>
        <v>Men</v>
      </c>
      <c r="C14" s="75">
        <f>IF(OR(B14="",COUNTIF($B$9:B14,B14)=1),"",COUNTIF($B$9:B14,B14)-1)</f>
        <v>5</v>
      </c>
      <c r="D14" s="227">
        <f ca="1">IF(""=C14,"",IF(COUNTIF($D$9:D13,"")=2,LARGE('Start List'!C:C,A12),LARGE('Start List'!C:C,A13)))</f>
        <v>1827.2911859999999</v>
      </c>
      <c r="E14" s="79" t="str">
        <f>IF(C14="","",VLOOKUP(B14,Data!$AK$2:$AN$7,4,FALSE)&amp;C14)</f>
        <v>M5</v>
      </c>
      <c r="F14" s="80">
        <f>IF(COUNTIF(Data!$D$2:$D$97,'Men-Women'!$E14)=0,"",VLOOKUP('Men-Women'!$E14,Data!$D$2:$H$97,'Men-Women'!F$8,FALSE))</f>
        <v>7</v>
      </c>
      <c r="G14" s="80">
        <f>IF(COUNTIF(Data!$D$2:$D$97,'Men-Women'!$E14)=0,"",VLOOKUP('Men-Women'!$E14,Data!$D$2:$H$97,'Men-Women'!G$8,FALSE))</f>
        <v>4</v>
      </c>
      <c r="H14" s="80">
        <f>IF(COUNTIF(Data!$D$2:$D$97,'Men-Women'!$E14)=0,"",VLOOKUP('Men-Women'!$E14,Data!$D$2:$H$97,'Men-Women'!H$8,FALSE))</f>
        <v>6</v>
      </c>
      <c r="I14" s="80">
        <f>IF(COUNTIF(Data!$D$2:$D$97,'Men-Women'!$E14)=0,"",VLOOKUP('Men-Women'!$E14,Data!$D$2:$H$97,'Men-Women'!I$8,FALSE))</f>
        <v>10</v>
      </c>
      <c r="J14" s="77" t="str">
        <f ca="1">IF(B14&lt;&gt;B13,B14,IF($D14="","",INDEX('Start List'!$D$15:$D$139,MATCH($D14,'Start List'!$C$15:$C$139,0))))</f>
        <v>Petar Blagec</v>
      </c>
      <c r="K14" s="77" t="str">
        <f ca="1">IF($D14="","",INDEX('Start List'!$E$15:$E$139,MATCH($D14,'Start List'!$C$15:$C$139,0)))</f>
        <v>CRO</v>
      </c>
      <c r="L14" s="77" t="e">
        <f ca="1">IF($D14="","",INDEX('Start List'!$H$15:$H$139,MATCH($D14,'Start List'!$C$15:$C$139,0)))</f>
        <v>#N/A</v>
      </c>
      <c r="M14" s="79" t="str">
        <f ca="1">IF($D14="","",INDEX('Start List'!$F$15:$F$139,MATCH($D14,'Start List'!$C$15:$C$139,0)))</f>
        <v>C</v>
      </c>
      <c r="N14" s="80">
        <f ca="1">IF($D14="","",INDEX('Start List'!K$15:K$139,MATCH($D14,'Start List'!$C$15:$C$139,0)))</f>
        <v>263</v>
      </c>
      <c r="O14" s="80">
        <f ca="1">IF($D14="","",INDEX('Start List'!L$15:L$139,MATCH($D14,'Start List'!$C$15:$C$139,0)))</f>
        <v>8</v>
      </c>
      <c r="P14" s="80">
        <f ca="1">IF($D14="","",INDEX('Start List'!M$15:M$139,MATCH($D14,'Start List'!$C$15:$C$139,0)))</f>
        <v>1</v>
      </c>
      <c r="Q14" s="80" t="str">
        <f ca="1">IF($D14="","",INDEX('Start List'!N$15:N$139,MATCH($D14,'Start List'!$C$15:$C$139,0)))</f>
        <v/>
      </c>
      <c r="R14" s="80">
        <f ca="1">IF($D14="","",INDEX('Start List'!O$15:O$139,MATCH($D14,'Start List'!$C$15:$C$139,0)))</f>
        <v>279</v>
      </c>
      <c r="S14" s="80">
        <f ca="1">IF($D14="","",INDEX('Start List'!P$15:P$139,MATCH($D14,'Start List'!$C$15:$C$139,0)))</f>
        <v>8</v>
      </c>
      <c r="T14" s="80">
        <f ca="1">IF($D14="","",INDEX('Start List'!Q$15:Q$139,MATCH($D14,'Start List'!$C$15:$C$139,0)))</f>
        <v>6</v>
      </c>
      <c r="U14" s="80" t="str">
        <f ca="1">IF($D14="","",INDEX('Start List'!R$15:R$139,MATCH($D14,'Start List'!$C$15:$C$139,0)))</f>
        <v/>
      </c>
      <c r="V14" s="80">
        <f ca="1">IF($D14="","",INDEX('Start List'!S$15:S$139,MATCH($D14,'Start List'!$C$15:$C$139,0)))</f>
        <v>285</v>
      </c>
      <c r="W14" s="80">
        <f ca="1">IF($D14="","",INDEX('Start List'!T$15:T$139,MATCH($D14,'Start List'!$C$15:$C$139,0)))</f>
        <v>13</v>
      </c>
      <c r="X14" s="80">
        <f ca="1">IF($D14="","",INDEX('Start List'!U$15:U$139,MATCH($D14,'Start List'!$C$15:$C$139,0)))</f>
        <v>5</v>
      </c>
      <c r="Y14" s="80" t="str">
        <f ca="1">IF($D14="","",INDEX('Start List'!V$15:V$139,MATCH($D14,'Start List'!$C$15:$C$139,0)))</f>
        <v/>
      </c>
      <c r="Z14" s="80">
        <f ca="1">IF($D14="","",INDEX('Start List'!W$15:W$139,MATCH($D14,'Start List'!$C$15:$C$139,0)))</f>
        <v>827</v>
      </c>
      <c r="AA14" s="80">
        <f ca="1">IF($D14="","",INDEX('Start List'!X$15:X$139,MATCH($D14,'Start List'!$C$15:$C$139,0)))</f>
        <v>29</v>
      </c>
      <c r="AB14" s="80">
        <f ca="1">IF($D14="","",INDEX('Start List'!Y$15:Y$139,MATCH($D14,'Start List'!$C$15:$C$139,0)))</f>
        <v>12</v>
      </c>
    </row>
    <row r="15" spans="1:28" ht="12.75" customHeight="1" x14ac:dyDescent="0.2">
      <c r="A15" s="59">
        <f>IF(OR(COUNT('Start List'!A:A)+2='Men-Women'!A14,A14=""),"",'Men-Women'!A14+1)</f>
        <v>7</v>
      </c>
      <c r="B15" s="228" t="str">
        <f>IF(A15="","",IF(COUNTIF($B$9:B14,$B$9)-1=COUNTIF('Start List'!C:C,"&gt;999"),'Start List'!$J$10,'Start List'!$J$9))</f>
        <v>Men</v>
      </c>
      <c r="C15" s="75">
        <f>IF(OR(B15="",COUNTIF($B$9:B15,B15)=1),"",COUNTIF($B$9:B15,B15)-1)</f>
        <v>6</v>
      </c>
      <c r="D15" s="227">
        <f ca="1">IF(""=C15,"",IF(COUNTIF($D$9:D14,"")=2,LARGE('Start List'!C:C,A13),LARGE('Start List'!C:C,A14)))</f>
        <v>1810.1710969999999</v>
      </c>
      <c r="E15" s="79" t="str">
        <f>IF(C15="","",VLOOKUP(B15,Data!$AK$2:$AN$7,4,FALSE)&amp;C15)</f>
        <v>M6</v>
      </c>
      <c r="F15" s="80">
        <f>IF(COUNTIF(Data!$D$2:$D$97,'Men-Women'!$E15)=0,"",VLOOKUP('Men-Women'!$E15,Data!$D$2:$H$97,'Men-Women'!F$8,FALSE))</f>
        <v>15</v>
      </c>
      <c r="G15" s="80">
        <f>IF(COUNTIF(Data!$D$2:$D$97,'Men-Women'!$E15)=0,"",VLOOKUP('Men-Women'!$E15,Data!$D$2:$H$97,'Men-Women'!G$8,FALSE))</f>
        <v>8</v>
      </c>
      <c r="H15" s="80">
        <f>IF(COUNTIF(Data!$D$2:$D$97,'Men-Women'!$E15)=0,"",VLOOKUP('Men-Women'!$E15,Data!$D$2:$H$97,'Men-Women'!H$8,FALSE))</f>
        <v>3</v>
      </c>
      <c r="I15" s="80">
        <f>IF(COUNTIF(Data!$D$2:$D$97,'Men-Women'!$E15)=0,"",VLOOKUP('Men-Women'!$E15,Data!$D$2:$H$97,'Men-Women'!I$8,FALSE))</f>
        <v>11</v>
      </c>
      <c r="J15" s="77" t="str">
        <f ca="1">IF(B15&lt;&gt;B14,B15,IF($D15="","",INDEX('Start List'!$D$15:$D$139,MATCH($D15,'Start List'!$C$15:$C$139,0))))</f>
        <v xml:space="preserve">Tijan Željko </v>
      </c>
      <c r="K15" s="77" t="str">
        <f ca="1">IF($D15="","",INDEX('Start List'!$E$15:$E$139,MATCH($D15,'Start List'!$C$15:$C$139,0)))</f>
        <v>CRO</v>
      </c>
      <c r="L15" s="77" t="e">
        <f ca="1">IF($D15="","",INDEX('Start List'!$H$15:$H$139,MATCH($D15,'Start List'!$C$15:$C$139,0)))</f>
        <v>#N/A</v>
      </c>
      <c r="M15" s="79" t="str">
        <f ca="1">IF($D15="","",INDEX('Start List'!$F$15:$F$139,MATCH($D15,'Start List'!$C$15:$C$139,0)))</f>
        <v>M</v>
      </c>
      <c r="N15" s="80">
        <f ca="1">IF($D15="","",INDEX('Start List'!K$15:K$139,MATCH($D15,'Start List'!$C$15:$C$139,0)))</f>
        <v>256</v>
      </c>
      <c r="O15" s="80">
        <f ca="1">IF($D15="","",INDEX('Start List'!L$15:L$139,MATCH($D15,'Start List'!$C$15:$C$139,0)))</f>
        <v>3</v>
      </c>
      <c r="P15" s="80">
        <f ca="1">IF($D15="","",INDEX('Start List'!M$15:M$139,MATCH($D15,'Start List'!$C$15:$C$139,0)))</f>
        <v>2</v>
      </c>
      <c r="Q15" s="80" t="str">
        <f ca="1">IF($D15="","",INDEX('Start List'!N$15:N$139,MATCH($D15,'Start List'!$C$15:$C$139,0)))</f>
        <v/>
      </c>
      <c r="R15" s="80">
        <f ca="1">IF($D15="","",INDEX('Start List'!O$15:O$139,MATCH($D15,'Start List'!$C$15:$C$139,0)))</f>
        <v>277</v>
      </c>
      <c r="S15" s="80">
        <f ca="1">IF($D15="","",INDEX('Start List'!P$15:P$139,MATCH($D15,'Start List'!$C$15:$C$139,0)))</f>
        <v>6</v>
      </c>
      <c r="T15" s="80">
        <f ca="1">IF($D15="","",INDEX('Start List'!Q$15:Q$139,MATCH($D15,'Start List'!$C$15:$C$139,0)))</f>
        <v>4</v>
      </c>
      <c r="U15" s="80" t="str">
        <f ca="1">IF($D15="","",INDEX('Start List'!R$15:R$139,MATCH($D15,'Start List'!$C$15:$C$139,0)))</f>
        <v/>
      </c>
      <c r="V15" s="80">
        <f ca="1">IF($D15="","",INDEX('Start List'!S$15:S$139,MATCH($D15,'Start List'!$C$15:$C$139,0)))</f>
        <v>277</v>
      </c>
      <c r="W15" s="80">
        <f ca="1">IF($D15="","",INDEX('Start List'!T$15:T$139,MATCH($D15,'Start List'!$C$15:$C$139,0)))</f>
        <v>8</v>
      </c>
      <c r="X15" s="80">
        <f ca="1">IF($D15="","",INDEX('Start List'!U$15:U$139,MATCH($D15,'Start List'!$C$15:$C$139,0)))</f>
        <v>5</v>
      </c>
      <c r="Y15" s="80" t="str">
        <f ca="1">IF($D15="","",INDEX('Start List'!V$15:V$139,MATCH($D15,'Start List'!$C$15:$C$139,0)))</f>
        <v/>
      </c>
      <c r="Z15" s="80">
        <f ca="1">IF($D15="","",INDEX('Start List'!W$15:W$139,MATCH($D15,'Start List'!$C$15:$C$139,0)))</f>
        <v>810</v>
      </c>
      <c r="AA15" s="80">
        <f ca="1">IF($D15="","",INDEX('Start List'!X$15:X$139,MATCH($D15,'Start List'!$C$15:$C$139,0)))</f>
        <v>17</v>
      </c>
      <c r="AB15" s="80">
        <f ca="1">IF($D15="","",INDEX('Start List'!Y$15:Y$139,MATCH($D15,'Start List'!$C$15:$C$139,0)))</f>
        <v>11</v>
      </c>
    </row>
    <row r="16" spans="1:28" ht="12.75" customHeight="1" x14ac:dyDescent="0.2">
      <c r="A16" s="59">
        <f>IF(OR(COUNT('Start List'!A:A)+2='Men-Women'!A15,A15=""),"",'Men-Women'!A15+1)</f>
        <v>8</v>
      </c>
      <c r="B16" s="228" t="str">
        <f>IF(A16="","",IF(COUNTIF($B$9:B15,$B$9)-1=COUNTIF('Start List'!C:C,"&gt;999"),'Start List'!$J$10,'Start List'!$J$9))</f>
        <v>Men</v>
      </c>
      <c r="C16" s="75">
        <f>IF(OR(B16="",COUNTIF($B$9:B16,B16)=1),"",COUNTIF($B$9:B16,B16)-1)</f>
        <v>7</v>
      </c>
      <c r="D16" s="227">
        <f ca="1">IF(""=C16,"",IF(COUNTIF($D$9:D15,"")=2,LARGE('Start List'!C:C,A14),LARGE('Start List'!C:C,A15)))</f>
        <v>1802.2407760000001</v>
      </c>
      <c r="E16" s="79" t="str">
        <f>IF(C16="","",VLOOKUP(B16,Data!$AK$2:$AN$7,4,FALSE)&amp;C16)</f>
        <v>M7</v>
      </c>
      <c r="F16" s="80">
        <f>IF(COUNTIF(Data!$D$2:$D$97,'Men-Women'!$E16)=0,"",VLOOKUP('Men-Women'!$E16,Data!$D$2:$H$97,'Men-Women'!F$8,FALSE))</f>
        <v>11</v>
      </c>
      <c r="G16" s="80">
        <f>IF(COUNTIF(Data!$D$2:$D$97,'Men-Women'!$E16)=0,"",VLOOKUP('Men-Women'!$E16,Data!$D$2:$H$97,'Men-Women'!G$8,FALSE))</f>
        <v>6</v>
      </c>
      <c r="H16" s="80">
        <f>IF(COUNTIF(Data!$D$2:$D$97,'Men-Women'!$E16)=0,"",VLOOKUP('Men-Women'!$E16,Data!$D$2:$H$97,'Men-Women'!H$8,FALSE))</f>
        <v>2</v>
      </c>
      <c r="I16" s="80">
        <f>IF(COUNTIF(Data!$D$2:$D$97,'Men-Women'!$E16)=0,"",VLOOKUP('Men-Women'!$E16,Data!$D$2:$H$97,'Men-Women'!I$8,FALSE))</f>
        <v>11</v>
      </c>
      <c r="J16" s="77" t="str">
        <f ca="1">IF(B16&lt;&gt;B15,B16,IF($D16="","",INDEX('Start List'!$D$15:$D$139,MATCH($D16,'Start List'!$C$15:$C$139,0))))</f>
        <v>Nedělník Josef</v>
      </c>
      <c r="K16" s="77" t="str">
        <f ca="1">IF($D16="","",INDEX('Start List'!$E$15:$E$139,MATCH($D16,'Start List'!$C$15:$C$139,0)))</f>
        <v>CZE - Savana</v>
      </c>
      <c r="L16" s="77" t="e">
        <f ca="1">IF($D16="","",INDEX('Start List'!$H$15:$H$139,MATCH($D16,'Start List'!$C$15:$C$139,0)))</f>
        <v>#N/A</v>
      </c>
      <c r="M16" s="79" t="str">
        <f ca="1">IF($D16="","",INDEX('Start List'!$F$15:$F$139,MATCH($D16,'Start List'!$C$15:$C$139,0)))</f>
        <v>SM</v>
      </c>
      <c r="N16" s="80">
        <f ca="1">IF($D16="","",INDEX('Start List'!K$15:K$139,MATCH($D16,'Start List'!$C$15:$C$139,0)))</f>
        <v>253</v>
      </c>
      <c r="O16" s="80">
        <f ca="1">IF($D16="","",INDEX('Start List'!L$15:L$139,MATCH($D16,'Start List'!$C$15:$C$139,0)))</f>
        <v>4</v>
      </c>
      <c r="P16" s="80">
        <f ca="1">IF($D16="","",INDEX('Start List'!M$15:M$139,MATCH($D16,'Start List'!$C$15:$C$139,0)))</f>
        <v>3</v>
      </c>
      <c r="Q16" s="80" t="str">
        <f ca="1">IF($D16="","",INDEX('Start List'!N$15:N$139,MATCH($D16,'Start List'!$C$15:$C$139,0)))</f>
        <v/>
      </c>
      <c r="R16" s="80">
        <f ca="1">IF($D16="","",INDEX('Start List'!O$15:O$139,MATCH($D16,'Start List'!$C$15:$C$139,0)))</f>
        <v>263</v>
      </c>
      <c r="S16" s="80">
        <f ca="1">IF($D16="","",INDEX('Start List'!P$15:P$139,MATCH($D16,'Start List'!$C$15:$C$139,0)))</f>
        <v>7</v>
      </c>
      <c r="T16" s="80">
        <f ca="1">IF($D16="","",INDEX('Start List'!Q$15:Q$139,MATCH($D16,'Start List'!$C$15:$C$139,0)))</f>
        <v>0</v>
      </c>
      <c r="U16" s="80" t="str">
        <f ca="1">IF($D16="","",INDEX('Start List'!R$15:R$139,MATCH($D16,'Start List'!$C$15:$C$139,0)))</f>
        <v/>
      </c>
      <c r="V16" s="80">
        <f ca="1">IF($D16="","",INDEX('Start List'!S$15:S$139,MATCH($D16,'Start List'!$C$15:$C$139,0)))</f>
        <v>286</v>
      </c>
      <c r="W16" s="80">
        <f ca="1">IF($D16="","",INDEX('Start List'!T$15:T$139,MATCH($D16,'Start List'!$C$15:$C$139,0)))</f>
        <v>13</v>
      </c>
      <c r="X16" s="80">
        <f ca="1">IF($D16="","",INDEX('Start List'!U$15:U$139,MATCH($D16,'Start List'!$C$15:$C$139,0)))</f>
        <v>5</v>
      </c>
      <c r="Y16" s="80" t="str">
        <f ca="1">IF($D16="","",INDEX('Start List'!V$15:V$139,MATCH($D16,'Start List'!$C$15:$C$139,0)))</f>
        <v/>
      </c>
      <c r="Z16" s="80">
        <f ca="1">IF($D16="","",INDEX('Start List'!W$15:W$139,MATCH($D16,'Start List'!$C$15:$C$139,0)))</f>
        <v>802</v>
      </c>
      <c r="AA16" s="80">
        <f ca="1">IF($D16="","",INDEX('Start List'!X$15:X$139,MATCH($D16,'Start List'!$C$15:$C$139,0)))</f>
        <v>24</v>
      </c>
      <c r="AB16" s="80">
        <f ca="1">IF($D16="","",INDEX('Start List'!Y$15:Y$139,MATCH($D16,'Start List'!$C$15:$C$139,0)))</f>
        <v>8</v>
      </c>
    </row>
    <row r="17" spans="1:28" s="81" customFormat="1" ht="12.75" customHeight="1" x14ac:dyDescent="0.2">
      <c r="A17" s="59">
        <f>IF(OR(COUNT('Start List'!A:A)+2='Men-Women'!A16,A16=""),"",'Men-Women'!A16+1)</f>
        <v>9</v>
      </c>
      <c r="B17" s="228" t="str">
        <f>IF(A17="","",IF(COUNTIF($B$9:B16,$B$9)-1=COUNTIF('Start List'!C:C,"&gt;999"),'Start List'!$J$10,'Start List'!$J$9))</f>
        <v>Men</v>
      </c>
      <c r="C17" s="75">
        <f>IF(OR(B17="",COUNTIF($B$9:B17,B17)=1),"",COUNTIF($B$9:B17,B17)-1)</f>
        <v>8</v>
      </c>
      <c r="D17" s="227">
        <f ca="1">IF(""=C17,"",IF(COUNTIF($D$9:D16,"")=2,LARGE('Start List'!C:C,A15),LARGE('Start List'!C:C,A16)))</f>
        <v>1796.160977</v>
      </c>
      <c r="E17" s="79" t="str">
        <f>IF(C17="","",VLOOKUP(B17,Data!$AK$2:$AN$7,4,FALSE)&amp;C17)</f>
        <v>M8</v>
      </c>
      <c r="F17" s="80">
        <f>IF(COUNTIF(Data!$D$2:$D$97,'Men-Women'!$E17)=0,"",VLOOKUP('Men-Women'!$E17,Data!$D$2:$H$97,'Men-Women'!F$8,FALSE))</f>
        <v>3</v>
      </c>
      <c r="G17" s="80">
        <f>IF(COUNTIF(Data!$D$2:$D$97,'Men-Women'!$E17)=0,"",VLOOKUP('Men-Women'!$E17,Data!$D$2:$H$97,'Men-Women'!G$8,FALSE))</f>
        <v>2</v>
      </c>
      <c r="H17" s="80">
        <f>IF(COUNTIF(Data!$D$2:$D$97,'Men-Women'!$E17)=0,"",VLOOKUP('Men-Women'!$E17,Data!$D$2:$H$97,'Men-Women'!H$8,FALSE))</f>
        <v>5</v>
      </c>
      <c r="I17" s="80">
        <f>IF(COUNTIF(Data!$D$2:$D$97,'Men-Women'!$E17)=0,"",VLOOKUP('Men-Women'!$E17,Data!$D$2:$H$97,'Men-Women'!I$8,FALSE))</f>
        <v>10</v>
      </c>
      <c r="J17" s="77" t="str">
        <f ca="1">IF(B17&lt;&gt;B16,B17,IF($D17="","",INDEX('Start List'!$D$15:$D$139,MATCH($D17,'Start List'!$C$15:$C$139,0))))</f>
        <v>Fran Županić</v>
      </c>
      <c r="K17" s="77" t="str">
        <f ca="1">IF($D17="","",INDEX('Start List'!$E$15:$E$139,MATCH($D17,'Start List'!$C$15:$C$139,0)))</f>
        <v>CRO</v>
      </c>
      <c r="L17" s="77" t="e">
        <f ca="1">IF($D17="","",INDEX('Start List'!$H$15:$H$139,MATCH($D17,'Start List'!$C$15:$C$139,0)))</f>
        <v>#N/A</v>
      </c>
      <c r="M17" s="79" t="str">
        <f ca="1">IF($D17="","",INDEX('Start List'!$F$15:$F$139,MATCH($D17,'Start List'!$C$15:$C$139,0)))</f>
        <v>C</v>
      </c>
      <c r="N17" s="80">
        <f ca="1">IF($D17="","",INDEX('Start List'!K$15:K$139,MATCH($D17,'Start List'!$C$15:$C$139,0)))</f>
        <v>245</v>
      </c>
      <c r="O17" s="80">
        <f ca="1">IF($D17="","",INDEX('Start List'!L$15:L$139,MATCH($D17,'Start List'!$C$15:$C$139,0)))</f>
        <v>5</v>
      </c>
      <c r="P17" s="80">
        <f ca="1">IF($D17="","",INDEX('Start List'!M$15:M$139,MATCH($D17,'Start List'!$C$15:$C$139,0)))</f>
        <v>0</v>
      </c>
      <c r="Q17" s="80" t="str">
        <f ca="1">IF($D17="","",INDEX('Start List'!N$15:N$139,MATCH($D17,'Start List'!$C$15:$C$139,0)))</f>
        <v/>
      </c>
      <c r="R17" s="80">
        <f ca="1">IF($D17="","",INDEX('Start List'!O$15:O$139,MATCH($D17,'Start List'!$C$15:$C$139,0)))</f>
        <v>275</v>
      </c>
      <c r="S17" s="80">
        <f ca="1">IF($D17="","",INDEX('Start List'!P$15:P$139,MATCH($D17,'Start List'!$C$15:$C$139,0)))</f>
        <v>3</v>
      </c>
      <c r="T17" s="80">
        <f ca="1">IF($D17="","",INDEX('Start List'!Q$15:Q$139,MATCH($D17,'Start List'!$C$15:$C$139,0)))</f>
        <v>6</v>
      </c>
      <c r="U17" s="80" t="str">
        <f ca="1">IF($D17="","",INDEX('Start List'!R$15:R$139,MATCH($D17,'Start List'!$C$15:$C$139,0)))</f>
        <v/>
      </c>
      <c r="V17" s="80">
        <f ca="1">IF($D17="","",INDEX('Start List'!S$15:S$139,MATCH($D17,'Start List'!$C$15:$C$139,0)))</f>
        <v>276</v>
      </c>
      <c r="W17" s="80">
        <f ca="1">IF($D17="","",INDEX('Start List'!T$15:T$139,MATCH($D17,'Start List'!$C$15:$C$139,0)))</f>
        <v>8</v>
      </c>
      <c r="X17" s="80">
        <f ca="1">IF($D17="","",INDEX('Start List'!U$15:U$139,MATCH($D17,'Start List'!$C$15:$C$139,0)))</f>
        <v>4</v>
      </c>
      <c r="Y17" s="80" t="str">
        <f ca="1">IF($D17="","",INDEX('Start List'!V$15:V$139,MATCH($D17,'Start List'!$C$15:$C$139,0)))</f>
        <v/>
      </c>
      <c r="Z17" s="80">
        <f ca="1">IF($D17="","",INDEX('Start List'!W$15:W$139,MATCH($D17,'Start List'!$C$15:$C$139,0)))</f>
        <v>796</v>
      </c>
      <c r="AA17" s="80">
        <f ca="1">IF($D17="","",INDEX('Start List'!X$15:X$139,MATCH($D17,'Start List'!$C$15:$C$139,0)))</f>
        <v>16</v>
      </c>
      <c r="AB17" s="80">
        <f ca="1">IF($D17="","",INDEX('Start List'!Y$15:Y$139,MATCH($D17,'Start List'!$C$15:$C$139,0)))</f>
        <v>10</v>
      </c>
    </row>
    <row r="18" spans="1:28" s="82" customFormat="1" ht="12.75" customHeight="1" x14ac:dyDescent="0.2">
      <c r="A18" s="59">
        <f>IF(OR(COUNT('Start List'!A:A)+2='Men-Women'!A17,A17=""),"",'Men-Women'!A17+1)</f>
        <v>10</v>
      </c>
      <c r="B18" s="228" t="str">
        <f>IF(A18="","",IF(COUNTIF($B$9:B17,$B$9)-1=COUNTIF('Start List'!C:C,"&gt;999"),'Start List'!$J$10,'Start List'!$J$9))</f>
        <v>Men</v>
      </c>
      <c r="C18" s="75">
        <f>IF(OR(B18="",COUNTIF($B$9:B18,B18)=1),"",COUNTIF($B$9:B18,B18)-1)</f>
        <v>9</v>
      </c>
      <c r="D18" s="227">
        <f ca="1">IF(""=C18,"",IF(COUNTIF($D$9:D17,"")=2,LARGE('Start List'!C:C,A16),LARGE('Start List'!C:C,A17)))</f>
        <v>1774.130975</v>
      </c>
      <c r="E18" s="79" t="str">
        <f>IF(C18="","",VLOOKUP(B18,Data!$AK$2:$AN$7,4,FALSE)&amp;C18)</f>
        <v>M9</v>
      </c>
      <c r="F18" s="80">
        <f>IF(COUNTIF(Data!$D$2:$D$97,'Men-Women'!$E18)=0,"",VLOOKUP('Men-Women'!$E18,Data!$D$2:$H$97,'Men-Women'!F$8,FALSE))</f>
        <v>4</v>
      </c>
      <c r="G18" s="80">
        <f>IF(COUNTIF(Data!$D$2:$D$97,'Men-Women'!$E18)=0,"",VLOOKUP('Men-Women'!$E18,Data!$D$2:$H$97,'Men-Women'!G$8,FALSE))</f>
        <v>2</v>
      </c>
      <c r="H18" s="80">
        <f>IF(COUNTIF(Data!$D$2:$D$97,'Men-Women'!$E18)=0,"",VLOOKUP('Men-Women'!$E18,Data!$D$2:$H$97,'Men-Women'!H$8,FALSE))</f>
        <v>5</v>
      </c>
      <c r="I18" s="80">
        <f>IF(COUNTIF(Data!$D$2:$D$97,'Men-Women'!$E18)=0,"",VLOOKUP('Men-Women'!$E18,Data!$D$2:$H$97,'Men-Women'!I$8,FALSE))</f>
        <v>10</v>
      </c>
      <c r="J18" s="77" t="str">
        <f ca="1">IF(B18&lt;&gt;B17,B18,IF($D18="","",INDEX('Start List'!$D$15:$D$139,MATCH($D18,'Start List'!$C$15:$C$139,0))))</f>
        <v>Mátrai István</v>
      </c>
      <c r="K18" s="77" t="str">
        <f ca="1">IF($D18="","",INDEX('Start List'!$E$15:$E$139,MATCH($D18,'Start List'!$C$15:$C$139,0)))</f>
        <v>HUN - Hungarian Shooting Federation</v>
      </c>
      <c r="L18" s="77" t="e">
        <f ca="1">IF($D18="","",INDEX('Start List'!$H$15:$H$139,MATCH($D18,'Start List'!$C$15:$C$139,0)))</f>
        <v>#N/A</v>
      </c>
      <c r="M18" s="79" t="str">
        <f ca="1">IF($D18="","",INDEX('Start List'!$F$15:$F$139,MATCH($D18,'Start List'!$C$15:$C$139,0)))</f>
        <v>SM</v>
      </c>
      <c r="N18" s="80">
        <f ca="1">IF($D18="","",INDEX('Start List'!K$15:K$139,MATCH($D18,'Start List'!$C$15:$C$139,0)))</f>
        <v>243</v>
      </c>
      <c r="O18" s="80">
        <f ca="1">IF($D18="","",INDEX('Start List'!L$15:L$139,MATCH($D18,'Start List'!$C$15:$C$139,0)))</f>
        <v>3</v>
      </c>
      <c r="P18" s="80">
        <f ca="1">IF($D18="","",INDEX('Start List'!M$15:M$139,MATCH($D18,'Start List'!$C$15:$C$139,0)))</f>
        <v>2</v>
      </c>
      <c r="Q18" s="80" t="str">
        <f ca="1">IF($D18="","",INDEX('Start List'!N$15:N$139,MATCH($D18,'Start List'!$C$15:$C$139,0)))</f>
        <v/>
      </c>
      <c r="R18" s="80">
        <f ca="1">IF($D18="","",INDEX('Start List'!O$15:O$139,MATCH($D18,'Start List'!$C$15:$C$139,0)))</f>
        <v>269</v>
      </c>
      <c r="S18" s="80">
        <f ca="1">IF($D18="","",INDEX('Start List'!P$15:P$139,MATCH($D18,'Start List'!$C$15:$C$139,0)))</f>
        <v>7</v>
      </c>
      <c r="T18" s="80">
        <f ca="1">IF($D18="","",INDEX('Start List'!Q$15:Q$139,MATCH($D18,'Start List'!$C$15:$C$139,0)))</f>
        <v>4</v>
      </c>
      <c r="U18" s="80" t="str">
        <f ca="1">IF($D18="","",INDEX('Start List'!R$15:R$139,MATCH($D18,'Start List'!$C$15:$C$139,0)))</f>
        <v/>
      </c>
      <c r="V18" s="80">
        <f ca="1">IF($D18="","",INDEX('Start List'!S$15:S$139,MATCH($D18,'Start List'!$C$15:$C$139,0)))</f>
        <v>262</v>
      </c>
      <c r="W18" s="80">
        <f ca="1">IF($D18="","",INDEX('Start List'!T$15:T$139,MATCH($D18,'Start List'!$C$15:$C$139,0)))</f>
        <v>3</v>
      </c>
      <c r="X18" s="80">
        <f ca="1">IF($D18="","",INDEX('Start List'!U$15:U$139,MATCH($D18,'Start List'!$C$15:$C$139,0)))</f>
        <v>4</v>
      </c>
      <c r="Y18" s="80" t="str">
        <f ca="1">IF($D18="","",INDEX('Start List'!V$15:V$139,MATCH($D18,'Start List'!$C$15:$C$139,0)))</f>
        <v/>
      </c>
      <c r="Z18" s="80">
        <f ca="1">IF($D18="","",INDEX('Start List'!W$15:W$139,MATCH($D18,'Start List'!$C$15:$C$139,0)))</f>
        <v>774</v>
      </c>
      <c r="AA18" s="80">
        <f ca="1">IF($D18="","",INDEX('Start List'!X$15:X$139,MATCH($D18,'Start List'!$C$15:$C$139,0)))</f>
        <v>13</v>
      </c>
      <c r="AB18" s="80">
        <f ca="1">IF($D18="","",INDEX('Start List'!Y$15:Y$139,MATCH($D18,'Start List'!$C$15:$C$139,0)))</f>
        <v>10</v>
      </c>
    </row>
    <row r="19" spans="1:28" s="82" customFormat="1" ht="12.75" customHeight="1" x14ac:dyDescent="0.2">
      <c r="A19" s="59">
        <f>IF(OR(COUNT('Start List'!A:A)+2='Men-Women'!A18,A18=""),"",'Men-Women'!A18+1)</f>
        <v>11</v>
      </c>
      <c r="B19" s="228" t="str">
        <f>IF(A19="","",IF(COUNTIF($B$9:B18,$B$9)-1=COUNTIF('Start List'!C:C,"&gt;999"),'Start List'!$J$10,'Start List'!$J$9))</f>
        <v>Men</v>
      </c>
      <c r="C19" s="75">
        <f>IF(OR(B19="",COUNTIF($B$9:B19,B19)=1),"",COUNTIF($B$9:B19,B19)-1)</f>
        <v>10</v>
      </c>
      <c r="D19" s="227">
        <f ca="1">IF(""=C19,"",IF(COUNTIF($D$9:D18,"")=2,LARGE('Start List'!C:C,A17),LARGE('Start List'!C:C,A18)))</f>
        <v>1770.1307830000001</v>
      </c>
      <c r="E19" s="79" t="str">
        <f>IF(C19="","",VLOOKUP(B19,Data!$AK$2:$AN$7,4,FALSE)&amp;C19)</f>
        <v>M10</v>
      </c>
      <c r="F19" s="80">
        <f>IF(COUNTIF(Data!$D$2:$D$97,'Men-Women'!$E19)=0,"",VLOOKUP('Men-Women'!$E19,Data!$D$2:$H$97,'Men-Women'!F$8,FALSE))</f>
        <v>12</v>
      </c>
      <c r="G19" s="80">
        <f>IF(COUNTIF(Data!$D$2:$D$97,'Men-Women'!$E19)=0,"",VLOOKUP('Men-Women'!$E19,Data!$D$2:$H$97,'Men-Women'!G$8,FALSE))</f>
        <v>6</v>
      </c>
      <c r="H19" s="80">
        <f>IF(COUNTIF(Data!$D$2:$D$97,'Men-Women'!$E19)=0,"",VLOOKUP('Men-Women'!$E19,Data!$D$2:$H$97,'Men-Women'!H$8,FALSE))</f>
        <v>2</v>
      </c>
      <c r="I19" s="80">
        <f>IF(COUNTIF(Data!$D$2:$D$97,'Men-Women'!$E19)=0,"",VLOOKUP('Men-Women'!$E19,Data!$D$2:$H$97,'Men-Women'!I$8,FALSE))</f>
        <v>11</v>
      </c>
      <c r="J19" s="77" t="str">
        <f ca="1">IF(B19&lt;&gt;B18,B19,IF($D19="","",INDEX('Start List'!$D$15:$D$139,MATCH($D19,'Start List'!$C$15:$C$139,0))))</f>
        <v>Vyskočil Denis</v>
      </c>
      <c r="K19" s="77" t="str">
        <f ca="1">IF($D19="","",INDEX('Start List'!$E$15:$E$139,MATCH($D19,'Start List'!$C$15:$C$139,0)))</f>
        <v>CZE - Falcon Crossbow Plumlov</v>
      </c>
      <c r="L19" s="77" t="e">
        <f ca="1">IF($D19="","",INDEX('Start List'!$H$15:$H$139,MATCH($D19,'Start List'!$C$15:$C$139,0)))</f>
        <v>#N/A</v>
      </c>
      <c r="M19" s="79" t="str">
        <f ca="1">IF($D19="","",INDEX('Start List'!$F$15:$F$139,MATCH($D19,'Start List'!$C$15:$C$139,0)))</f>
        <v>C</v>
      </c>
      <c r="N19" s="80">
        <f ca="1">IF($D19="","",INDEX('Start List'!K$15:K$139,MATCH($D19,'Start List'!$C$15:$C$139,0)))</f>
        <v>225</v>
      </c>
      <c r="O19" s="80">
        <f ca="1">IF($D19="","",INDEX('Start List'!L$15:L$139,MATCH($D19,'Start List'!$C$15:$C$139,0)))</f>
        <v>2</v>
      </c>
      <c r="P19" s="80">
        <f ca="1">IF($D19="","",INDEX('Start List'!M$15:M$139,MATCH($D19,'Start List'!$C$15:$C$139,0)))</f>
        <v>0</v>
      </c>
      <c r="Q19" s="80" t="str">
        <f ca="1">IF($D19="","",INDEX('Start List'!N$15:N$139,MATCH($D19,'Start List'!$C$15:$C$139,0)))</f>
        <v/>
      </c>
      <c r="R19" s="80">
        <f ca="1">IF($D19="","",INDEX('Start List'!O$15:O$139,MATCH($D19,'Start List'!$C$15:$C$139,0)))</f>
        <v>269</v>
      </c>
      <c r="S19" s="80">
        <f ca="1">IF($D19="","",INDEX('Start List'!P$15:P$139,MATCH($D19,'Start List'!$C$15:$C$139,0)))</f>
        <v>4</v>
      </c>
      <c r="T19" s="80">
        <f ca="1">IF($D19="","",INDEX('Start List'!Q$15:Q$139,MATCH($D19,'Start List'!$C$15:$C$139,0)))</f>
        <v>4</v>
      </c>
      <c r="U19" s="80" t="str">
        <f ca="1">IF($D19="","",INDEX('Start List'!R$15:R$139,MATCH($D19,'Start List'!$C$15:$C$139,0)))</f>
        <v/>
      </c>
      <c r="V19" s="80">
        <f ca="1">IF($D19="","",INDEX('Start List'!S$15:S$139,MATCH($D19,'Start List'!$C$15:$C$139,0)))</f>
        <v>276</v>
      </c>
      <c r="W19" s="80">
        <f ca="1">IF($D19="","",INDEX('Start List'!T$15:T$139,MATCH($D19,'Start List'!$C$15:$C$139,0)))</f>
        <v>7</v>
      </c>
      <c r="X19" s="80">
        <f ca="1">IF($D19="","",INDEX('Start List'!U$15:U$139,MATCH($D19,'Start List'!$C$15:$C$139,0)))</f>
        <v>4</v>
      </c>
      <c r="Y19" s="80" t="str">
        <f ca="1">IF($D19="","",INDEX('Start List'!V$15:V$139,MATCH($D19,'Start List'!$C$15:$C$139,0)))</f>
        <v/>
      </c>
      <c r="Z19" s="80">
        <f ca="1">IF($D19="","",INDEX('Start List'!W$15:W$139,MATCH($D19,'Start List'!$C$15:$C$139,0)))</f>
        <v>770</v>
      </c>
      <c r="AA19" s="80">
        <f ca="1">IF($D19="","",INDEX('Start List'!X$15:X$139,MATCH($D19,'Start List'!$C$15:$C$139,0)))</f>
        <v>13</v>
      </c>
      <c r="AB19" s="80">
        <f ca="1">IF($D19="","",INDEX('Start List'!Y$15:Y$139,MATCH($D19,'Start List'!$C$15:$C$139,0)))</f>
        <v>8</v>
      </c>
    </row>
    <row r="20" spans="1:28" s="83" customFormat="1" ht="12.75" customHeight="1" x14ac:dyDescent="0.2">
      <c r="A20" s="59">
        <f>IF(OR(COUNT('Start List'!A:A)+2='Men-Women'!A19,A19=""),"",'Men-Women'!A19+1)</f>
        <v>12</v>
      </c>
      <c r="B20" s="228" t="str">
        <f>IF(A20="","",IF(COUNTIF($B$9:B19,$B$9)-1=COUNTIF('Start List'!C:C,"&gt;999"),'Start List'!$J$10,'Start List'!$J$9))</f>
        <v>Men</v>
      </c>
      <c r="C20" s="75">
        <f>IF(OR(B20="",COUNTIF($B$9:B20,B20)=1),"",COUNTIF($B$9:B20,B20)-1)</f>
        <v>11</v>
      </c>
      <c r="D20" s="227">
        <f ca="1">IF(""=C20,"",IF(COUNTIF($D$9:D19,"")=2,LARGE('Start List'!C:C,A18),LARGE('Start List'!C:C,A19)))</f>
        <v>1760.120688</v>
      </c>
      <c r="E20" s="79" t="str">
        <f>IF(C20="","",VLOOKUP(B20,Data!$AK$2:$AN$7,4,FALSE)&amp;C20)</f>
        <v>M11</v>
      </c>
      <c r="F20" s="80">
        <f>IF(COUNTIF(Data!$D$2:$D$97,'Men-Women'!$E20)=0,"",VLOOKUP('Men-Women'!$E20,Data!$D$2:$H$97,'Men-Women'!F$8,FALSE))</f>
        <v>16</v>
      </c>
      <c r="G20" s="80">
        <f>IF(COUNTIF(Data!$D$2:$D$97,'Men-Women'!$E20)=0,"",VLOOKUP('Men-Women'!$E20,Data!$D$2:$H$97,'Men-Women'!G$8,FALSE))</f>
        <v>8</v>
      </c>
      <c r="H20" s="80">
        <f>IF(COUNTIF(Data!$D$2:$D$97,'Men-Women'!$E20)=0,"",VLOOKUP('Men-Women'!$E20,Data!$D$2:$H$97,'Men-Women'!H$8,FALSE))</f>
        <v>3</v>
      </c>
      <c r="I20" s="80">
        <f>IF(COUNTIF(Data!$D$2:$D$97,'Men-Women'!$E20)=0,"",VLOOKUP('Men-Women'!$E20,Data!$D$2:$H$97,'Men-Women'!I$8,FALSE))</f>
        <v>11</v>
      </c>
      <c r="J20" s="77" t="str">
        <f ca="1">IF(B20&lt;&gt;B19,B20,IF($D20="","",INDEX('Start List'!$D$15:$D$139,MATCH($D20,'Start List'!$C$15:$C$139,0))))</f>
        <v>Andrés Lukáš</v>
      </c>
      <c r="K20" s="77" t="str">
        <f ca="1">IF($D20="","",INDEX('Start List'!$E$15:$E$139,MATCH($D20,'Start List'!$C$15:$C$139,0)))</f>
        <v>CZE - Savana</v>
      </c>
      <c r="L20" s="77" t="e">
        <f ca="1">IF($D20="","",INDEX('Start List'!$H$15:$H$139,MATCH($D20,'Start List'!$C$15:$C$139,0)))</f>
        <v>#N/A</v>
      </c>
      <c r="M20" s="79" t="str">
        <f ca="1">IF($D20="","",INDEX('Start List'!$F$15:$F$139,MATCH($D20,'Start List'!$C$15:$C$139,0)))</f>
        <v>J</v>
      </c>
      <c r="N20" s="80">
        <f ca="1">IF($D20="","",INDEX('Start List'!K$15:K$139,MATCH($D20,'Start List'!$C$15:$C$139,0)))</f>
        <v>240</v>
      </c>
      <c r="O20" s="80">
        <f ca="1">IF($D20="","",INDEX('Start List'!L$15:L$139,MATCH($D20,'Start List'!$C$15:$C$139,0)))</f>
        <v>2</v>
      </c>
      <c r="P20" s="80">
        <f ca="1">IF($D20="","",INDEX('Start List'!M$15:M$139,MATCH($D20,'Start List'!$C$15:$C$139,0)))</f>
        <v>1</v>
      </c>
      <c r="Q20" s="80" t="str">
        <f ca="1">IF($D20="","",INDEX('Start List'!N$15:N$139,MATCH($D20,'Start List'!$C$15:$C$139,0)))</f>
        <v/>
      </c>
      <c r="R20" s="80">
        <f ca="1">IF($D20="","",INDEX('Start List'!O$15:O$139,MATCH($D20,'Start List'!$C$15:$C$139,0)))</f>
        <v>263</v>
      </c>
      <c r="S20" s="80">
        <f ca="1">IF($D20="","",INDEX('Start List'!P$15:P$139,MATCH($D20,'Start List'!$C$15:$C$139,0)))</f>
        <v>6</v>
      </c>
      <c r="T20" s="80">
        <f ca="1">IF($D20="","",INDEX('Start List'!Q$15:Q$139,MATCH($D20,'Start List'!$C$15:$C$139,0)))</f>
        <v>3</v>
      </c>
      <c r="U20" s="80" t="str">
        <f ca="1">IF($D20="","",INDEX('Start List'!R$15:R$139,MATCH($D20,'Start List'!$C$15:$C$139,0)))</f>
        <v/>
      </c>
      <c r="V20" s="80">
        <f ca="1">IF($D20="","",INDEX('Start List'!S$15:S$139,MATCH($D20,'Start List'!$C$15:$C$139,0)))</f>
        <v>257</v>
      </c>
      <c r="W20" s="80">
        <f ca="1">IF($D20="","",INDEX('Start List'!T$15:T$139,MATCH($D20,'Start List'!$C$15:$C$139,0)))</f>
        <v>4</v>
      </c>
      <c r="X20" s="80">
        <f ca="1">IF($D20="","",INDEX('Start List'!U$15:U$139,MATCH($D20,'Start List'!$C$15:$C$139,0)))</f>
        <v>3</v>
      </c>
      <c r="Y20" s="80" t="str">
        <f ca="1">IF($D20="","",INDEX('Start List'!V$15:V$139,MATCH($D20,'Start List'!$C$15:$C$139,0)))</f>
        <v/>
      </c>
      <c r="Z20" s="80">
        <f ca="1">IF($D20="","",INDEX('Start List'!W$15:W$139,MATCH($D20,'Start List'!$C$15:$C$139,0)))</f>
        <v>760</v>
      </c>
      <c r="AA20" s="80">
        <f ca="1">IF($D20="","",INDEX('Start List'!X$15:X$139,MATCH($D20,'Start List'!$C$15:$C$139,0)))</f>
        <v>12</v>
      </c>
      <c r="AB20" s="80">
        <f ca="1">IF($D20="","",INDEX('Start List'!Y$15:Y$139,MATCH($D20,'Start List'!$C$15:$C$139,0)))</f>
        <v>7</v>
      </c>
    </row>
    <row r="21" spans="1:28" s="83" customFormat="1" ht="12.75" customHeight="1" collapsed="1" x14ac:dyDescent="0.2">
      <c r="A21" s="59">
        <f>IF(OR(COUNT('Start List'!A:A)+2='Men-Women'!A20,A20=""),"",'Men-Women'!A20+1)</f>
        <v>13</v>
      </c>
      <c r="B21" s="228" t="str">
        <f>IF(A21="","",IF(COUNTIF($B$9:B20,$B$9)-1=COUNTIF('Start List'!C:C,"&gt;999"),'Start List'!$J$10,'Start List'!$J$9))</f>
        <v>Men</v>
      </c>
      <c r="C21" s="75">
        <f>IF(OR(B21="",COUNTIF($B$9:B21,B21)=1),"",COUNTIF($B$9:B21,B21)-1)</f>
        <v>12</v>
      </c>
      <c r="D21" s="227">
        <f ca="1">IF(""=C21,"",IF(COUNTIF($D$9:D20,"")=2,LARGE('Start List'!C:C,A19),LARGE('Start List'!C:C,A20)))</f>
        <v>1755.1303780000001</v>
      </c>
      <c r="E21" s="79" t="str">
        <f>IF(C21="","",VLOOKUP(B21,Data!$AK$2:$AN$7,4,FALSE)&amp;C21)</f>
        <v>M12</v>
      </c>
      <c r="F21" s="80">
        <f>IF(COUNTIF(Data!$D$2:$D$97,'Men-Women'!$E21)=0,"",VLOOKUP('Men-Women'!$E21,Data!$D$2:$H$97,'Men-Women'!F$8,FALSE))</f>
        <v>8</v>
      </c>
      <c r="G21" s="80">
        <f>IF(COUNTIF(Data!$D$2:$D$97,'Men-Women'!$E21)=0,"",VLOOKUP('Men-Women'!$E21,Data!$D$2:$H$97,'Men-Women'!G$8,FALSE))</f>
        <v>4</v>
      </c>
      <c r="H21" s="80">
        <f>IF(COUNTIF(Data!$D$2:$D$97,'Men-Women'!$E21)=0,"",VLOOKUP('Men-Women'!$E21,Data!$D$2:$H$97,'Men-Women'!H$8,FALSE))</f>
        <v>6</v>
      </c>
      <c r="I21" s="80">
        <f>IF(COUNTIF(Data!$D$2:$D$97,'Men-Women'!$E21)=0,"",VLOOKUP('Men-Women'!$E21,Data!$D$2:$H$97,'Men-Women'!I$8,FALSE))</f>
        <v>10</v>
      </c>
      <c r="J21" s="77" t="str">
        <f ca="1">IF(B21&lt;&gt;B20,B21,IF($D21="","",INDEX('Start List'!$D$15:$D$139,MATCH($D21,'Start List'!$C$15:$C$139,0))))</f>
        <v>Kratochvíla Pavel</v>
      </c>
      <c r="K21" s="77" t="str">
        <f ca="1">IF($D21="","",INDEX('Start List'!$E$15:$E$139,MATCH($D21,'Start List'!$C$15:$C$139,0)))</f>
        <v>CZE - Plumlov</v>
      </c>
      <c r="L21" s="77" t="e">
        <f ca="1">IF($D21="","",INDEX('Start List'!$H$15:$H$139,MATCH($D21,'Start List'!$C$15:$C$139,0)))</f>
        <v>#N/A</v>
      </c>
      <c r="M21" s="79" t="str">
        <f ca="1">IF($D21="","",INDEX('Start List'!$F$15:$F$139,MATCH($D21,'Start List'!$C$15:$C$139,0)))</f>
        <v>C</v>
      </c>
      <c r="N21" s="80">
        <f ca="1">IF($D21="","",INDEX('Start List'!K$15:K$139,MATCH($D21,'Start List'!$C$15:$C$139,0)))</f>
        <v>231</v>
      </c>
      <c r="O21" s="80">
        <f ca="1">IF($D21="","",INDEX('Start List'!L$15:L$139,MATCH($D21,'Start List'!$C$15:$C$139,0)))</f>
        <v>5</v>
      </c>
      <c r="P21" s="80">
        <f ca="1">IF($D21="","",INDEX('Start List'!M$15:M$139,MATCH($D21,'Start List'!$C$15:$C$139,0)))</f>
        <v>1</v>
      </c>
      <c r="Q21" s="80" t="str">
        <f ca="1">IF($D21="","",INDEX('Start List'!N$15:N$139,MATCH($D21,'Start List'!$C$15:$C$139,0)))</f>
        <v/>
      </c>
      <c r="R21" s="80">
        <f ca="1">IF($D21="","",INDEX('Start List'!O$15:O$139,MATCH($D21,'Start List'!$C$15:$C$139,0)))</f>
        <v>259</v>
      </c>
      <c r="S21" s="80">
        <f ca="1">IF($D21="","",INDEX('Start List'!P$15:P$139,MATCH($D21,'Start List'!$C$15:$C$139,0)))</f>
        <v>2</v>
      </c>
      <c r="T21" s="80">
        <f ca="1">IF($D21="","",INDEX('Start List'!Q$15:Q$139,MATCH($D21,'Start List'!$C$15:$C$139,0)))</f>
        <v>1</v>
      </c>
      <c r="U21" s="80" t="str">
        <f ca="1">IF($D21="","",INDEX('Start List'!R$15:R$139,MATCH($D21,'Start List'!$C$15:$C$139,0)))</f>
        <v/>
      </c>
      <c r="V21" s="80">
        <f ca="1">IF($D21="","",INDEX('Start List'!S$15:S$139,MATCH($D21,'Start List'!$C$15:$C$139,0)))</f>
        <v>265</v>
      </c>
      <c r="W21" s="80">
        <f ca="1">IF($D21="","",INDEX('Start List'!T$15:T$139,MATCH($D21,'Start List'!$C$15:$C$139,0)))</f>
        <v>6</v>
      </c>
      <c r="X21" s="80">
        <f ca="1">IF($D21="","",INDEX('Start List'!U$15:U$139,MATCH($D21,'Start List'!$C$15:$C$139,0)))</f>
        <v>2</v>
      </c>
      <c r="Y21" s="80" t="str">
        <f ca="1">IF($D21="","",INDEX('Start List'!V$15:V$139,MATCH($D21,'Start List'!$C$15:$C$139,0)))</f>
        <v/>
      </c>
      <c r="Z21" s="80">
        <f ca="1">IF($D21="","",INDEX('Start List'!W$15:W$139,MATCH($D21,'Start List'!$C$15:$C$139,0)))</f>
        <v>755</v>
      </c>
      <c r="AA21" s="80">
        <f ca="1">IF($D21="","",INDEX('Start List'!X$15:X$139,MATCH($D21,'Start List'!$C$15:$C$139,0)))</f>
        <v>13</v>
      </c>
      <c r="AB21" s="80">
        <f ca="1">IF($D21="","",INDEX('Start List'!Y$15:Y$139,MATCH($D21,'Start List'!$C$15:$C$139,0)))</f>
        <v>4</v>
      </c>
    </row>
    <row r="22" spans="1:28" s="83" customFormat="1" ht="12.75" customHeight="1" collapsed="1" x14ac:dyDescent="0.2">
      <c r="A22" s="59">
        <f>IF(OR(COUNT('Start List'!A:A)+2='Men-Women'!A21,A21=""),"",'Men-Women'!A21+1)</f>
        <v>14</v>
      </c>
      <c r="B22" s="228" t="str">
        <f>IF(A22="","",IF(COUNTIF($B$9:B21,$B$9)-1=COUNTIF('Start List'!C:C,"&gt;999"),'Start List'!$J$10,'Start List'!$J$9))</f>
        <v>Men</v>
      </c>
      <c r="C22" s="75">
        <f>IF(OR(B22="",COUNTIF($B$9:B22,B22)=1),"",COUNTIF($B$9:B22,B22)-1)</f>
        <v>13</v>
      </c>
      <c r="D22" s="227">
        <f ca="1">IF(""=C22,"",IF(COUNTIF($D$9:D21,"")=2,LARGE('Start List'!C:C,A20),LARGE('Start List'!C:C,A21)))</f>
        <v>1737.1105729999999</v>
      </c>
      <c r="E22" s="79" t="str">
        <f>IF(C22="","",VLOOKUP(B22,Data!$AK$2:$AN$7,4,FALSE)&amp;C22)</f>
        <v>M13</v>
      </c>
      <c r="F22" s="80">
        <f>IF(COUNTIF(Data!$D$2:$D$97,'Men-Women'!$E22)=0,"",VLOOKUP('Men-Women'!$E22,Data!$D$2:$H$97,'Men-Women'!F$8,FALSE))</f>
        <v>6</v>
      </c>
      <c r="G22" s="80">
        <f>IF(COUNTIF(Data!$D$2:$D$97,'Men-Women'!$E22)=0,"",VLOOKUP('Men-Women'!$E22,Data!$D$2:$H$97,'Men-Women'!G$8,FALSE))</f>
        <v>3</v>
      </c>
      <c r="H22" s="80">
        <f>IF(COUNTIF(Data!$D$2:$D$97,'Men-Women'!$E22)=0,"",VLOOKUP('Men-Women'!$E22,Data!$D$2:$H$97,'Men-Women'!H$8,FALSE))</f>
        <v>6</v>
      </c>
      <c r="I22" s="80">
        <f>IF(COUNTIF(Data!$D$2:$D$97,'Men-Women'!$E22)=0,"",VLOOKUP('Men-Women'!$E22,Data!$D$2:$H$97,'Men-Women'!I$8,FALSE))</f>
        <v>10</v>
      </c>
      <c r="J22" s="77" t="str">
        <f ca="1">IF(B22&lt;&gt;B21,B22,IF($D22="","",INDEX('Start List'!$D$15:$D$139,MATCH($D22,'Start List'!$C$15:$C$139,0))))</f>
        <v>Losert Václav</v>
      </c>
      <c r="K22" s="77" t="str">
        <f ca="1">IF($D22="","",INDEX('Start List'!$E$15:$E$139,MATCH($D22,'Start List'!$C$15:$C$139,0)))</f>
        <v>CZE - TJ Opava</v>
      </c>
      <c r="L22" s="77" t="e">
        <f ca="1">IF($D22="","",INDEX('Start List'!$H$15:$H$139,MATCH($D22,'Start List'!$C$15:$C$139,0)))</f>
        <v>#N/A</v>
      </c>
      <c r="M22" s="79" t="str">
        <f ca="1">IF($D22="","",INDEX('Start List'!$F$15:$F$139,MATCH($D22,'Start List'!$C$15:$C$139,0)))</f>
        <v>SM</v>
      </c>
      <c r="N22" s="80">
        <f ca="1">IF($D22="","",INDEX('Start List'!K$15:K$139,MATCH($D22,'Start List'!$C$15:$C$139,0)))</f>
        <v>213</v>
      </c>
      <c r="O22" s="80">
        <f ca="1">IF($D22="","",INDEX('Start List'!L$15:L$139,MATCH($D22,'Start List'!$C$15:$C$139,0)))</f>
        <v>0</v>
      </c>
      <c r="P22" s="80">
        <f ca="1">IF($D22="","",INDEX('Start List'!M$15:M$139,MATCH($D22,'Start List'!$C$15:$C$139,0)))</f>
        <v>0</v>
      </c>
      <c r="Q22" s="80" t="str">
        <f ca="1">IF($D22="","",INDEX('Start List'!N$15:N$139,MATCH($D22,'Start List'!$C$15:$C$139,0)))</f>
        <v/>
      </c>
      <c r="R22" s="80">
        <f ca="1">IF($D22="","",INDEX('Start List'!O$15:O$139,MATCH($D22,'Start List'!$C$15:$C$139,0)))</f>
        <v>263</v>
      </c>
      <c r="S22" s="80">
        <f ca="1">IF($D22="","",INDEX('Start List'!P$15:P$139,MATCH($D22,'Start List'!$C$15:$C$139,0)))</f>
        <v>6</v>
      </c>
      <c r="T22" s="80">
        <f ca="1">IF($D22="","",INDEX('Start List'!Q$15:Q$139,MATCH($D22,'Start List'!$C$15:$C$139,0)))</f>
        <v>2</v>
      </c>
      <c r="U22" s="80" t="str">
        <f ca="1">IF($D22="","",INDEX('Start List'!R$15:R$139,MATCH($D22,'Start List'!$C$15:$C$139,0)))</f>
        <v/>
      </c>
      <c r="V22" s="80">
        <f ca="1">IF($D22="","",INDEX('Start List'!S$15:S$139,MATCH($D22,'Start List'!$C$15:$C$139,0)))</f>
        <v>261</v>
      </c>
      <c r="W22" s="80">
        <f ca="1">IF($D22="","",INDEX('Start List'!T$15:T$139,MATCH($D22,'Start List'!$C$15:$C$139,0)))</f>
        <v>5</v>
      </c>
      <c r="X22" s="80">
        <f ca="1">IF($D22="","",INDEX('Start List'!U$15:U$139,MATCH($D22,'Start List'!$C$15:$C$139,0)))</f>
        <v>4</v>
      </c>
      <c r="Y22" s="80" t="str">
        <f ca="1">IF($D22="","",INDEX('Start List'!V$15:V$139,MATCH($D22,'Start List'!$C$15:$C$139,0)))</f>
        <v/>
      </c>
      <c r="Z22" s="80">
        <f ca="1">IF($D22="","",INDEX('Start List'!W$15:W$139,MATCH($D22,'Start List'!$C$15:$C$139,0)))</f>
        <v>737</v>
      </c>
      <c r="AA22" s="80">
        <f ca="1">IF($D22="","",INDEX('Start List'!X$15:X$139,MATCH($D22,'Start List'!$C$15:$C$139,0)))</f>
        <v>11</v>
      </c>
      <c r="AB22" s="80">
        <f ca="1">IF($D22="","",INDEX('Start List'!Y$15:Y$139,MATCH($D22,'Start List'!$C$15:$C$139,0)))</f>
        <v>6</v>
      </c>
    </row>
    <row r="23" spans="1:28" s="83" customFormat="1" ht="12.75" customHeight="1" x14ac:dyDescent="0.2">
      <c r="A23" s="59">
        <f>IF(OR(COUNT('Start List'!A:A)+2='Men-Women'!A22,A22=""),"",'Men-Women'!A22+1)</f>
        <v>15</v>
      </c>
      <c r="B23" s="228" t="str">
        <f>IF(A23="","",IF(COUNTIF($B$9:B22,$B$9)-1=COUNTIF('Start List'!C:C,"&gt;999"),'Start List'!$J$10,'Start List'!$J$9))</f>
        <v>Men</v>
      </c>
      <c r="C23" s="75">
        <f>IF(OR(B23="",COUNTIF($B$9:B23,B23)=1),"",COUNTIF($B$9:B23,B23)-1)</f>
        <v>14</v>
      </c>
      <c r="D23" s="227">
        <f ca="1">IF(""=C23,"",IF(COUNTIF($D$9:D22,"")=2,LARGE('Start List'!C:C,A21),LARGE('Start List'!C:C,A22)))</f>
        <v>1735.0405739999999</v>
      </c>
      <c r="E23" s="79" t="str">
        <f>IF(C23="","",VLOOKUP(B23,Data!$AK$2:$AN$7,4,FALSE)&amp;C23)</f>
        <v>M14</v>
      </c>
      <c r="F23" s="80">
        <f>IF(COUNTIF(Data!$D$2:$D$97,'Men-Women'!$E23)=0,"",VLOOKUP('Men-Women'!$E23,Data!$D$2:$H$97,'Men-Women'!F$8,FALSE))</f>
        <v>14</v>
      </c>
      <c r="G23" s="80">
        <f>IF(COUNTIF(Data!$D$2:$D$97,'Men-Women'!$E23)=0,"",VLOOKUP('Men-Women'!$E23,Data!$D$2:$H$97,'Men-Women'!G$8,FALSE))</f>
        <v>7</v>
      </c>
      <c r="H23" s="80">
        <f>IF(COUNTIF(Data!$D$2:$D$97,'Men-Women'!$E23)=0,"",VLOOKUP('Men-Women'!$E23,Data!$D$2:$H$97,'Men-Women'!H$8,FALSE))</f>
        <v>3</v>
      </c>
      <c r="I23" s="80">
        <f>IF(COUNTIF(Data!$D$2:$D$97,'Men-Women'!$E23)=0,"",VLOOKUP('Men-Women'!$E23,Data!$D$2:$H$97,'Men-Women'!I$8,FALSE))</f>
        <v>11</v>
      </c>
      <c r="J23" s="77" t="str">
        <f ca="1">IF(B23&lt;&gt;B22,B23,IF($D23="","",INDEX('Start List'!$D$15:$D$139,MATCH($D23,'Start List'!$C$15:$C$139,0))))</f>
        <v>Baborák František</v>
      </c>
      <c r="K23" s="77" t="str">
        <f ca="1">IF($D23="","",INDEX('Start List'!$E$15:$E$139,MATCH($D23,'Start List'!$C$15:$C$139,0)))</f>
        <v>CZE - Plumlov</v>
      </c>
      <c r="L23" s="77" t="e">
        <f ca="1">IF($D23="","",INDEX('Start List'!$H$15:$H$139,MATCH($D23,'Start List'!$C$15:$C$139,0)))</f>
        <v>#N/A</v>
      </c>
      <c r="M23" s="79" t="str">
        <f ca="1">IF($D23="","",INDEX('Start List'!$F$15:$F$139,MATCH($D23,'Start List'!$C$15:$C$139,0)))</f>
        <v>SM</v>
      </c>
      <c r="N23" s="80">
        <f ca="1">IF($D23="","",INDEX('Start List'!K$15:K$139,MATCH($D23,'Start List'!$C$15:$C$139,0)))</f>
        <v>216</v>
      </c>
      <c r="O23" s="80">
        <f ca="1">IF($D23="","",INDEX('Start List'!L$15:L$139,MATCH($D23,'Start List'!$C$15:$C$139,0)))</f>
        <v>0</v>
      </c>
      <c r="P23" s="80">
        <f ca="1">IF($D23="","",INDEX('Start List'!M$15:M$139,MATCH($D23,'Start List'!$C$15:$C$139,0)))</f>
        <v>1</v>
      </c>
      <c r="Q23" s="80" t="str">
        <f ca="1">IF($D23="","",INDEX('Start List'!N$15:N$139,MATCH($D23,'Start List'!$C$15:$C$139,0)))</f>
        <v/>
      </c>
      <c r="R23" s="80">
        <f ca="1">IF($D23="","",INDEX('Start List'!O$15:O$139,MATCH($D23,'Start List'!$C$15:$C$139,0)))</f>
        <v>261</v>
      </c>
      <c r="S23" s="80">
        <f ca="1">IF($D23="","",INDEX('Start List'!P$15:P$139,MATCH($D23,'Start List'!$C$15:$C$139,0)))</f>
        <v>1</v>
      </c>
      <c r="T23" s="80">
        <f ca="1">IF($D23="","",INDEX('Start List'!Q$15:Q$139,MATCH($D23,'Start List'!$C$15:$C$139,0)))</f>
        <v>1</v>
      </c>
      <c r="U23" s="80" t="str">
        <f ca="1">IF($D23="","",INDEX('Start List'!R$15:R$139,MATCH($D23,'Start List'!$C$15:$C$139,0)))</f>
        <v/>
      </c>
      <c r="V23" s="80">
        <f ca="1">IF($D23="","",INDEX('Start List'!S$15:S$139,MATCH($D23,'Start List'!$C$15:$C$139,0)))</f>
        <v>258</v>
      </c>
      <c r="W23" s="80">
        <f ca="1">IF($D23="","",INDEX('Start List'!T$15:T$139,MATCH($D23,'Start List'!$C$15:$C$139,0)))</f>
        <v>3</v>
      </c>
      <c r="X23" s="80">
        <f ca="1">IF($D23="","",INDEX('Start List'!U$15:U$139,MATCH($D23,'Start List'!$C$15:$C$139,0)))</f>
        <v>4</v>
      </c>
      <c r="Y23" s="80" t="str">
        <f ca="1">IF($D23="","",INDEX('Start List'!V$15:V$139,MATCH($D23,'Start List'!$C$15:$C$139,0)))</f>
        <v/>
      </c>
      <c r="Z23" s="80">
        <f ca="1">IF($D23="","",INDEX('Start List'!W$15:W$139,MATCH($D23,'Start List'!$C$15:$C$139,0)))</f>
        <v>735</v>
      </c>
      <c r="AA23" s="80">
        <f ca="1">IF($D23="","",INDEX('Start List'!X$15:X$139,MATCH($D23,'Start List'!$C$15:$C$139,0)))</f>
        <v>4</v>
      </c>
      <c r="AB23" s="80">
        <f ca="1">IF($D23="","",INDEX('Start List'!Y$15:Y$139,MATCH($D23,'Start List'!$C$15:$C$139,0)))</f>
        <v>6</v>
      </c>
    </row>
    <row r="24" spans="1:28" s="83" customFormat="1" ht="12.75" customHeight="1" x14ac:dyDescent="0.2">
      <c r="A24" s="59">
        <f>IF(OR(COUNT('Start List'!A:A)+2='Men-Women'!A23,A23=""),"",'Men-Women'!A23+1)</f>
        <v>16</v>
      </c>
      <c r="B24" s="228" t="str">
        <f>IF(A24="","",IF(COUNTIF($B$9:B23,$B$9)-1=COUNTIF('Start List'!C:C,"&gt;999"),'Start List'!$J$10,'Start List'!$J$9))</f>
        <v>Men</v>
      </c>
      <c r="C24" s="75">
        <f>IF(OR(B24="",COUNTIF($B$9:B24,B24)=1),"",COUNTIF($B$9:B24,B24)-1)</f>
        <v>15</v>
      </c>
      <c r="D24" s="227">
        <f ca="1">IF(""=C24,"",IF(COUNTIF($D$9:D23,"")=2,LARGE('Start List'!C:C,A22),LARGE('Start List'!C:C,A23)))</f>
        <v>1718.0809709999999</v>
      </c>
      <c r="E24" s="79" t="str">
        <f>IF(C24="","",VLOOKUP(B24,Data!$AK$2:$AN$7,4,FALSE)&amp;C24)</f>
        <v>M15</v>
      </c>
      <c r="F24" s="80">
        <f>IF(COUNTIF(Data!$D$2:$D$97,'Men-Women'!$E24)=0,"",VLOOKUP('Men-Women'!$E24,Data!$D$2:$H$97,'Men-Women'!F$8,FALSE))</f>
        <v>10</v>
      </c>
      <c r="G24" s="80">
        <f>IF(COUNTIF(Data!$D$2:$D$97,'Men-Women'!$E24)=0,"",VLOOKUP('Men-Women'!$E24,Data!$D$2:$H$97,'Men-Women'!G$8,FALSE))</f>
        <v>5</v>
      </c>
      <c r="H24" s="80">
        <f>IF(COUNTIF(Data!$D$2:$D$97,'Men-Women'!$E24)=0,"",VLOOKUP('Men-Women'!$E24,Data!$D$2:$H$97,'Men-Women'!H$8,FALSE))</f>
        <v>2</v>
      </c>
      <c r="I24" s="80">
        <f>IF(COUNTIF(Data!$D$2:$D$97,'Men-Women'!$E24)=0,"",VLOOKUP('Men-Women'!$E24,Data!$D$2:$H$97,'Men-Women'!I$8,FALSE))</f>
        <v>11</v>
      </c>
      <c r="J24" s="77" t="str">
        <f ca="1">IF(B24&lt;&gt;B23,B24,IF($D24="","",INDEX('Start List'!$D$15:$D$139,MATCH($D24,'Start List'!$C$15:$C$139,0))))</f>
        <v>Palotai Gyula</v>
      </c>
      <c r="K24" s="77" t="str">
        <f ca="1">IF($D24="","",INDEX('Start List'!$E$15:$E$139,MATCH($D24,'Start List'!$C$15:$C$139,0)))</f>
        <v>HUN - Hungarian Shooting Federation</v>
      </c>
      <c r="L24" s="77" t="e">
        <f ca="1">IF($D24="","",INDEX('Start List'!$H$15:$H$139,MATCH($D24,'Start List'!$C$15:$C$139,0)))</f>
        <v>#N/A</v>
      </c>
      <c r="M24" s="79" t="str">
        <f ca="1">IF($D24="","",INDEX('Start List'!$F$15:$F$139,MATCH($D24,'Start List'!$C$15:$C$139,0)))</f>
        <v>SM</v>
      </c>
      <c r="N24" s="80">
        <f ca="1">IF($D24="","",INDEX('Start List'!K$15:K$139,MATCH($D24,'Start List'!$C$15:$C$139,0)))</f>
        <v>199</v>
      </c>
      <c r="O24" s="80">
        <f ca="1">IF($D24="","",INDEX('Start List'!L$15:L$139,MATCH($D24,'Start List'!$C$15:$C$139,0)))</f>
        <v>1</v>
      </c>
      <c r="P24" s="80">
        <f ca="1">IF($D24="","",INDEX('Start List'!M$15:M$139,MATCH($D24,'Start List'!$C$15:$C$139,0)))</f>
        <v>2</v>
      </c>
      <c r="Q24" s="80" t="str">
        <f ca="1">IF($D24="","",INDEX('Start List'!N$15:N$139,MATCH($D24,'Start List'!$C$15:$C$139,0)))</f>
        <v/>
      </c>
      <c r="R24" s="80">
        <f ca="1">IF($D24="","",INDEX('Start List'!O$15:O$139,MATCH($D24,'Start List'!$C$15:$C$139,0)))</f>
        <v>261</v>
      </c>
      <c r="S24" s="80">
        <f ca="1">IF($D24="","",INDEX('Start List'!P$15:P$139,MATCH($D24,'Start List'!$C$15:$C$139,0)))</f>
        <v>4</v>
      </c>
      <c r="T24" s="80">
        <f ca="1">IF($D24="","",INDEX('Start List'!Q$15:Q$139,MATCH($D24,'Start List'!$C$15:$C$139,0)))</f>
        <v>4</v>
      </c>
      <c r="U24" s="80" t="str">
        <f ca="1">IF($D24="","",INDEX('Start List'!R$15:R$139,MATCH($D24,'Start List'!$C$15:$C$139,0)))</f>
        <v/>
      </c>
      <c r="V24" s="80">
        <f ca="1">IF($D24="","",INDEX('Start List'!S$15:S$139,MATCH($D24,'Start List'!$C$15:$C$139,0)))</f>
        <v>258</v>
      </c>
      <c r="W24" s="80">
        <f ca="1">IF($D24="","",INDEX('Start List'!T$15:T$139,MATCH($D24,'Start List'!$C$15:$C$139,0)))</f>
        <v>3</v>
      </c>
      <c r="X24" s="80">
        <f ca="1">IF($D24="","",INDEX('Start List'!U$15:U$139,MATCH($D24,'Start List'!$C$15:$C$139,0)))</f>
        <v>4</v>
      </c>
      <c r="Y24" s="80" t="str">
        <f ca="1">IF($D24="","",INDEX('Start List'!V$15:V$139,MATCH($D24,'Start List'!$C$15:$C$139,0)))</f>
        <v/>
      </c>
      <c r="Z24" s="80">
        <f ca="1">IF($D24="","",INDEX('Start List'!W$15:W$139,MATCH($D24,'Start List'!$C$15:$C$139,0)))</f>
        <v>718</v>
      </c>
      <c r="AA24" s="80">
        <f ca="1">IF($D24="","",INDEX('Start List'!X$15:X$139,MATCH($D24,'Start List'!$C$15:$C$139,0)))</f>
        <v>8</v>
      </c>
      <c r="AB24" s="80">
        <f ca="1">IF($D24="","",INDEX('Start List'!Y$15:Y$139,MATCH($D24,'Start List'!$C$15:$C$139,0)))</f>
        <v>10</v>
      </c>
    </row>
    <row r="25" spans="1:28" s="83" customFormat="1" ht="12.75" customHeight="1" x14ac:dyDescent="0.2">
      <c r="A25" s="59">
        <f>IF(OR(COUNT('Start List'!A:A)+2='Men-Women'!A24,A24=""),"",'Men-Women'!A24+1)</f>
        <v>17</v>
      </c>
      <c r="B25" s="228" t="str">
        <f>IF(A25="","",IF(COUNTIF($B$9:B24,$B$9)-1=COUNTIF('Start List'!C:C,"&gt;999"),'Start List'!$J$10,'Start List'!$J$9))</f>
        <v>Men</v>
      </c>
      <c r="C25" s="75">
        <f>IF(OR(B25="",COUNTIF($B$9:B25,B25)=1),"",COUNTIF($B$9:B25,B25)-1)</f>
        <v>16</v>
      </c>
      <c r="D25" s="227">
        <f ca="1">IF(""=C25,"",IF(COUNTIF($D$9:D24,"")=2,LARGE('Start List'!C:C,A23),LARGE('Start List'!C:C,A24)))</f>
        <v>1695.1102850000002</v>
      </c>
      <c r="E25" s="79" t="str">
        <f>IF(C25="","",VLOOKUP(B25,Data!$AK$2:$AN$7,4,FALSE)&amp;C25)</f>
        <v>M16</v>
      </c>
      <c r="F25" s="80">
        <f>IF(COUNTIF(Data!$D$2:$D$97,'Men-Women'!$E25)=0,"",VLOOKUP('Men-Women'!$E25,Data!$D$2:$H$97,'Men-Women'!F$8,FALSE))</f>
        <v>2</v>
      </c>
      <c r="G25" s="80">
        <f>IF(COUNTIF(Data!$D$2:$D$97,'Men-Women'!$E25)=0,"",VLOOKUP('Men-Women'!$E25,Data!$D$2:$H$97,'Men-Women'!G$8,FALSE))</f>
        <v>1</v>
      </c>
      <c r="H25" s="80">
        <f>IF(COUNTIF(Data!$D$2:$D$97,'Men-Women'!$E25)=0,"",VLOOKUP('Men-Women'!$E25,Data!$D$2:$H$97,'Men-Women'!H$8,FALSE))</f>
        <v>5</v>
      </c>
      <c r="I25" s="80">
        <f>IF(COUNTIF(Data!$D$2:$D$97,'Men-Women'!$E25)=0,"",VLOOKUP('Men-Women'!$E25,Data!$D$2:$H$97,'Men-Women'!I$8,FALSE))</f>
        <v>10</v>
      </c>
      <c r="J25" s="77" t="str">
        <f ca="1">IF(B25&lt;&gt;B24,B25,IF($D25="","",INDEX('Start List'!$D$15:$D$139,MATCH($D25,'Start List'!$C$15:$C$139,0))))</f>
        <v>Mikeštík Martin</v>
      </c>
      <c r="K25" s="77" t="str">
        <f ca="1">IF($D25="","",INDEX('Start List'!$E$15:$E$139,MATCH($D25,'Start List'!$C$15:$C$139,0)))</f>
        <v>CZE - Otrokovice</v>
      </c>
      <c r="L25" s="77" t="e">
        <f ca="1">IF($D25="","",INDEX('Start List'!$H$15:$H$139,MATCH($D25,'Start List'!$C$15:$C$139,0)))</f>
        <v>#N/A</v>
      </c>
      <c r="M25" s="79" t="str">
        <f ca="1">IF($D25="","",INDEX('Start List'!$F$15:$F$139,MATCH($D25,'Start List'!$C$15:$C$139,0)))</f>
        <v>C</v>
      </c>
      <c r="N25" s="80">
        <f ca="1">IF($D25="","",INDEX('Start List'!K$15:K$139,MATCH($D25,'Start List'!$C$15:$C$139,0)))</f>
        <v>228</v>
      </c>
      <c r="O25" s="80">
        <f ca="1">IF($D25="","",INDEX('Start List'!L$15:L$139,MATCH($D25,'Start List'!$C$15:$C$139,0)))</f>
        <v>2</v>
      </c>
      <c r="P25" s="80">
        <f ca="1">IF($D25="","",INDEX('Start List'!M$15:M$139,MATCH($D25,'Start List'!$C$15:$C$139,0)))</f>
        <v>0</v>
      </c>
      <c r="Q25" s="80" t="str">
        <f ca="1">IF($D25="","",INDEX('Start List'!N$15:N$139,MATCH($D25,'Start List'!$C$15:$C$139,0)))</f>
        <v/>
      </c>
      <c r="R25" s="80">
        <f ca="1">IF($D25="","",INDEX('Start List'!O$15:O$139,MATCH($D25,'Start List'!$C$15:$C$139,0)))</f>
        <v>248</v>
      </c>
      <c r="S25" s="80">
        <f ca="1">IF($D25="","",INDEX('Start List'!P$15:P$139,MATCH($D25,'Start List'!$C$15:$C$139,0)))</f>
        <v>4</v>
      </c>
      <c r="T25" s="80">
        <f ca="1">IF($D25="","",INDEX('Start List'!Q$15:Q$139,MATCH($D25,'Start List'!$C$15:$C$139,0)))</f>
        <v>1</v>
      </c>
      <c r="U25" s="80" t="str">
        <f ca="1">IF($D25="","",INDEX('Start List'!R$15:R$139,MATCH($D25,'Start List'!$C$15:$C$139,0)))</f>
        <v/>
      </c>
      <c r="V25" s="80">
        <f ca="1">IF($D25="","",INDEX('Start List'!S$15:S$139,MATCH($D25,'Start List'!$C$15:$C$139,0)))</f>
        <v>219</v>
      </c>
      <c r="W25" s="80">
        <f ca="1">IF($D25="","",INDEX('Start List'!T$15:T$139,MATCH($D25,'Start List'!$C$15:$C$139,0)))</f>
        <v>5</v>
      </c>
      <c r="X25" s="80">
        <f ca="1">IF($D25="","",INDEX('Start List'!U$15:U$139,MATCH($D25,'Start List'!$C$15:$C$139,0)))</f>
        <v>2</v>
      </c>
      <c r="Y25" s="80" t="str">
        <f ca="1">IF($D25="","",INDEX('Start List'!V$15:V$139,MATCH($D25,'Start List'!$C$15:$C$139,0)))</f>
        <v/>
      </c>
      <c r="Z25" s="80">
        <f ca="1">IF($D25="","",INDEX('Start List'!W$15:W$139,MATCH($D25,'Start List'!$C$15:$C$139,0)))</f>
        <v>695</v>
      </c>
      <c r="AA25" s="80">
        <f ca="1">IF($D25="","",INDEX('Start List'!X$15:X$139,MATCH($D25,'Start List'!$C$15:$C$139,0)))</f>
        <v>11</v>
      </c>
      <c r="AB25" s="80">
        <f ca="1">IF($D25="","",INDEX('Start List'!Y$15:Y$139,MATCH($D25,'Start List'!$C$15:$C$139,0)))</f>
        <v>3</v>
      </c>
    </row>
    <row r="26" spans="1:28" s="83" customFormat="1" ht="12.75" customHeight="1" x14ac:dyDescent="0.2">
      <c r="A26" s="59">
        <f>IF(OR(COUNT('Start List'!A:A)+2='Men-Women'!A25,A25=""),"",'Men-Women'!A25+1)</f>
        <v>18</v>
      </c>
      <c r="B26" s="228" t="str">
        <f>IF(A26="","",IF(COUNTIF($B$9:B25,$B$9)-1=COUNTIF('Start List'!C:C,"&gt;999"),'Start List'!$J$10,'Start List'!$J$9))</f>
        <v>Men</v>
      </c>
      <c r="C26" s="75">
        <f>IF(OR(B26="",COUNTIF($B$9:B26,B26)=1),"",COUNTIF($B$9:B26,B26)-1)</f>
        <v>17</v>
      </c>
      <c r="D26" s="227">
        <f ca="1">IF(""=C26,"",IF(COUNTIF($D$9:D25,"")=2,LARGE('Start List'!C:C,A24),LARGE('Start List'!C:C,A25)))</f>
        <v>1609.020381</v>
      </c>
      <c r="E26" s="79" t="str">
        <f>IF(C26="","",VLOOKUP(B26,Data!$AK$2:$AN$7,4,FALSE)&amp;C26)</f>
        <v>M17</v>
      </c>
      <c r="F26" s="80" t="str">
        <f>IF(COUNTIF(Data!$D$2:$D$97,'Men-Women'!$E26)=0,"",VLOOKUP('Men-Women'!$E26,Data!$D$2:$H$97,'Men-Women'!F$8,FALSE))</f>
        <v/>
      </c>
      <c r="G26" s="80" t="str">
        <f>IF(COUNTIF(Data!$D$2:$D$97,'Men-Women'!$E26)=0,"",VLOOKUP('Men-Women'!$E26,Data!$D$2:$H$97,'Men-Women'!G$8,FALSE))</f>
        <v/>
      </c>
      <c r="H26" s="80" t="str">
        <f>IF(COUNTIF(Data!$D$2:$D$97,'Men-Women'!$E26)=0,"",VLOOKUP('Men-Women'!$E26,Data!$D$2:$H$97,'Men-Women'!H$8,FALSE))</f>
        <v/>
      </c>
      <c r="I26" s="80" t="str">
        <f>IF(COUNTIF(Data!$D$2:$D$97,'Men-Women'!$E26)=0,"",VLOOKUP('Men-Women'!$E26,Data!$D$2:$H$97,'Men-Women'!I$8,FALSE))</f>
        <v/>
      </c>
      <c r="J26" s="77" t="str">
        <f ca="1">IF(B26&lt;&gt;B25,B26,IF($D26="","",INDEX('Start List'!$D$15:$D$139,MATCH($D26,'Start List'!$C$15:$C$139,0))))</f>
        <v>Štěpán Špaček</v>
      </c>
      <c r="K26" s="77" t="str">
        <f ca="1">IF($D26="","",INDEX('Start List'!$E$15:$E$139,MATCH($D26,'Start List'!$C$15:$C$139,0)))</f>
        <v>CZE - Otrokovice</v>
      </c>
      <c r="L26" s="77" t="e">
        <f ca="1">IF($D26="","",INDEX('Start List'!$H$15:$H$139,MATCH($D26,'Start List'!$C$15:$C$139,0)))</f>
        <v>#N/A</v>
      </c>
      <c r="M26" s="79" t="str">
        <f ca="1">IF($D26="","",INDEX('Start List'!$F$15:$F$139,MATCH($D26,'Start List'!$C$15:$C$139,0)))</f>
        <v>C</v>
      </c>
      <c r="N26" s="80">
        <f ca="1">IF($D26="","",INDEX('Start List'!K$15:K$139,MATCH($D26,'Start List'!$C$15:$C$139,0)))</f>
        <v>193</v>
      </c>
      <c r="O26" s="80">
        <f ca="1">IF($D26="","",INDEX('Start List'!L$15:L$139,MATCH($D26,'Start List'!$C$15:$C$139,0)))</f>
        <v>0</v>
      </c>
      <c r="P26" s="80">
        <f ca="1">IF($D26="","",INDEX('Start List'!M$15:M$139,MATCH($D26,'Start List'!$C$15:$C$139,0)))</f>
        <v>1</v>
      </c>
      <c r="Q26" s="80" t="str">
        <f ca="1">IF($D26="","",INDEX('Start List'!N$15:N$139,MATCH($D26,'Start List'!$C$15:$C$139,0)))</f>
        <v/>
      </c>
      <c r="R26" s="80">
        <f ca="1">IF($D26="","",INDEX('Start List'!O$15:O$139,MATCH($D26,'Start List'!$C$15:$C$139,0)))</f>
        <v>237</v>
      </c>
      <c r="S26" s="80">
        <f ca="1">IF($D26="","",INDEX('Start List'!P$15:P$139,MATCH($D26,'Start List'!$C$15:$C$139,0)))</f>
        <v>2</v>
      </c>
      <c r="T26" s="80">
        <f ca="1">IF($D26="","",INDEX('Start List'!Q$15:Q$139,MATCH($D26,'Start List'!$C$15:$C$139,0)))</f>
        <v>1</v>
      </c>
      <c r="U26" s="80" t="str">
        <f ca="1">IF($D26="","",INDEX('Start List'!R$15:R$139,MATCH($D26,'Start List'!$C$15:$C$139,0)))</f>
        <v/>
      </c>
      <c r="V26" s="80">
        <f ca="1">IF($D26="","",INDEX('Start List'!S$15:S$139,MATCH($D26,'Start List'!$C$15:$C$139,0)))</f>
        <v>179</v>
      </c>
      <c r="W26" s="80">
        <f ca="1">IF($D26="","",INDEX('Start List'!T$15:T$139,MATCH($D26,'Start List'!$C$15:$C$139,0)))</f>
        <v>0</v>
      </c>
      <c r="X26" s="80">
        <f ca="1">IF($D26="","",INDEX('Start List'!U$15:U$139,MATCH($D26,'Start List'!$C$15:$C$139,0)))</f>
        <v>2</v>
      </c>
      <c r="Y26" s="80" t="str">
        <f ca="1">IF($D26="","",INDEX('Start List'!V$15:V$139,MATCH($D26,'Start List'!$C$15:$C$139,0)))</f>
        <v/>
      </c>
      <c r="Z26" s="80">
        <f ca="1">IF($D26="","",INDEX('Start List'!W$15:W$139,MATCH($D26,'Start List'!$C$15:$C$139,0)))</f>
        <v>609</v>
      </c>
      <c r="AA26" s="80">
        <f ca="1">IF($D26="","",INDEX('Start List'!X$15:X$139,MATCH($D26,'Start List'!$C$15:$C$139,0)))</f>
        <v>2</v>
      </c>
      <c r="AB26" s="80">
        <f ca="1">IF($D26="","",INDEX('Start List'!Y$15:Y$139,MATCH($D26,'Start List'!$C$15:$C$139,0)))</f>
        <v>4</v>
      </c>
    </row>
    <row r="27" spans="1:28" s="83" customFormat="1" ht="12.75" customHeight="1" x14ac:dyDescent="0.2">
      <c r="A27" s="59">
        <f>IF(OR(COUNT('Start List'!A:A)+2='Men-Women'!A26,A26=""),"",'Men-Women'!A26+1)</f>
        <v>19</v>
      </c>
      <c r="B27" s="228" t="str">
        <f>IF(A27="","",IF(COUNTIF($B$9:B26,$B$9)-1=COUNTIF('Start List'!C:C,"&gt;999"),'Start List'!$J$10,'Start List'!$J$9))</f>
        <v>Men</v>
      </c>
      <c r="C27" s="75">
        <f>IF(OR(B27="",COUNTIF($B$9:B27,B27)=1),"",COUNTIF($B$9:B27,B27)-1)</f>
        <v>18</v>
      </c>
      <c r="D27" s="227">
        <f ca="1">IF(""=C27,"",IF(COUNTIF($D$9:D26,"")=2,LARGE('Start List'!C:C,A25),LARGE('Start List'!C:C,A26)))</f>
        <v>999.99997199999996</v>
      </c>
      <c r="E27" s="79" t="str">
        <f>IF(C27="","",VLOOKUP(B27,Data!$AK$2:$AN$7,4,FALSE)&amp;C27)</f>
        <v>M18</v>
      </c>
      <c r="F27" s="80" t="str">
        <f>IF(COUNTIF(Data!$D$2:$D$97,'Men-Women'!$E27)=0,"",VLOOKUP('Men-Women'!$E27,Data!$D$2:$H$97,'Men-Women'!F$8,FALSE))</f>
        <v/>
      </c>
      <c r="G27" s="80" t="str">
        <f>IF(COUNTIF(Data!$D$2:$D$97,'Men-Women'!$E27)=0,"",VLOOKUP('Men-Women'!$E27,Data!$D$2:$H$97,'Men-Women'!G$8,FALSE))</f>
        <v/>
      </c>
      <c r="H27" s="80" t="str">
        <f>IF(COUNTIF(Data!$D$2:$D$97,'Men-Women'!$E27)=0,"",VLOOKUP('Men-Women'!$E27,Data!$D$2:$H$97,'Men-Women'!H$8,FALSE))</f>
        <v/>
      </c>
      <c r="I27" s="80" t="str">
        <f>IF(COUNTIF(Data!$D$2:$D$97,'Men-Women'!$E27)=0,"",VLOOKUP('Men-Women'!$E27,Data!$D$2:$H$97,'Men-Women'!I$8,FALSE))</f>
        <v/>
      </c>
      <c r="J27" s="77" t="str">
        <f ca="1">IF(B27&lt;&gt;B26,B27,IF($D27="","",INDEX('Start List'!$D$15:$D$139,MATCH($D27,'Start List'!$C$15:$C$139,0))))</f>
        <v>Sedláček František</v>
      </c>
      <c r="K27" s="77" t="str">
        <f ca="1">IF($D27="","",INDEX('Start List'!$E$15:$E$139,MATCH($D27,'Start List'!$C$15:$C$139,0)))</f>
        <v>CZE - Savana</v>
      </c>
      <c r="L27" s="77" t="e">
        <f ca="1">IF($D27="","",INDEX('Start List'!$H$15:$H$139,MATCH($D27,'Start List'!$C$15:$C$139,0)))</f>
        <v>#N/A</v>
      </c>
      <c r="M27" s="79" t="str">
        <f ca="1">IF($D27="","",INDEX('Start List'!$F$15:$F$139,MATCH($D27,'Start List'!$C$15:$C$139,0)))</f>
        <v>SM</v>
      </c>
      <c r="N27" s="80">
        <f ca="1">IF($D27="","",INDEX('Start List'!K$15:K$139,MATCH($D27,'Start List'!$C$15:$C$139,0)))</f>
        <v>0</v>
      </c>
      <c r="O27" s="80">
        <f ca="1">IF($D27="","",INDEX('Start List'!L$15:L$139,MATCH($D27,'Start List'!$C$15:$C$139,0)))</f>
        <v>0</v>
      </c>
      <c r="P27" s="80">
        <f ca="1">IF($D27="","",INDEX('Start List'!M$15:M$139,MATCH($D27,'Start List'!$C$15:$C$139,0)))</f>
        <v>0</v>
      </c>
      <c r="Q27" s="80" t="str">
        <f ca="1">IF($D27="","",INDEX('Start List'!N$15:N$139,MATCH($D27,'Start List'!$C$15:$C$139,0)))</f>
        <v/>
      </c>
      <c r="R27" s="80">
        <f ca="1">IF($D27="","",INDEX('Start List'!O$15:O$139,MATCH($D27,'Start List'!$C$15:$C$139,0)))</f>
        <v>0</v>
      </c>
      <c r="S27" s="80">
        <f ca="1">IF($D27="","",INDEX('Start List'!P$15:P$139,MATCH($D27,'Start List'!$C$15:$C$139,0)))</f>
        <v>0</v>
      </c>
      <c r="T27" s="80">
        <f ca="1">IF($D27="","",INDEX('Start List'!Q$15:Q$139,MATCH($D27,'Start List'!$C$15:$C$139,0)))</f>
        <v>0</v>
      </c>
      <c r="U27" s="80" t="str">
        <f ca="1">IF($D27="","",INDEX('Start List'!R$15:R$139,MATCH($D27,'Start List'!$C$15:$C$139,0)))</f>
        <v/>
      </c>
      <c r="V27" s="80">
        <f ca="1">IF($D27="","",INDEX('Start List'!S$15:S$139,MATCH($D27,'Start List'!$C$15:$C$139,0)))</f>
        <v>0</v>
      </c>
      <c r="W27" s="80">
        <f ca="1">IF($D27="","",INDEX('Start List'!T$15:T$139,MATCH($D27,'Start List'!$C$15:$C$139,0)))</f>
        <v>0</v>
      </c>
      <c r="X27" s="80">
        <f ca="1">IF($D27="","",INDEX('Start List'!U$15:U$139,MATCH($D27,'Start List'!$C$15:$C$139,0)))</f>
        <v>0</v>
      </c>
      <c r="Y27" s="80">
        <f ca="1">IF($D27="","",INDEX('Start List'!V$15:V$139,MATCH($D27,'Start List'!$C$15:$C$139,0)))</f>
        <v>0</v>
      </c>
      <c r="Z27" s="80">
        <f ca="1">IF($D27="","",INDEX('Start List'!W$15:W$139,MATCH($D27,'Start List'!$C$15:$C$139,0)))</f>
        <v>0</v>
      </c>
      <c r="AA27" s="80">
        <f ca="1">IF($D27="","",INDEX('Start List'!X$15:X$139,MATCH($D27,'Start List'!$C$15:$C$139,0)))</f>
        <v>0</v>
      </c>
      <c r="AB27" s="80">
        <f ca="1">IF($D27="","",INDEX('Start List'!Y$15:Y$139,MATCH($D27,'Start List'!$C$15:$C$139,0)))</f>
        <v>0</v>
      </c>
    </row>
    <row r="28" spans="1:28" s="83" customFormat="1" ht="12.75" customHeight="1" x14ac:dyDescent="0.2">
      <c r="A28" s="59">
        <f>IF(OR(COUNT('Start List'!A:A)+2='Men-Women'!A27,A27=""),"",'Men-Women'!A27+1)</f>
        <v>20</v>
      </c>
      <c r="B28" s="228" t="str">
        <f>IF(A28="","",IF(COUNTIF($B$9:B27,$B$9)-1=COUNTIF('Start List'!C:C,"&gt;999"),'Start List'!$J$10,'Start List'!$J$9))</f>
        <v>Women</v>
      </c>
      <c r="C28" s="75" t="str">
        <f>IF(OR(B28="",COUNTIF($B$9:B28,B28)=1),"",COUNTIF($B$9:B28,B28)-1)</f>
        <v/>
      </c>
      <c r="D28" s="227" t="str">
        <f>IF(""=C28,"",IF(COUNTIF($D$9:D27,"")=2,LARGE('Start List'!C:C,A26),LARGE('Start List'!C:C,A27)))</f>
        <v/>
      </c>
      <c r="E28" s="79" t="str">
        <f>IF(C28="","",VLOOKUP(B28,Data!$AK$2:$AN$7,4,FALSE)&amp;C28)</f>
        <v/>
      </c>
      <c r="F28" s="80" t="str">
        <f>IF(COUNTIF(Data!$D$2:$D$97,'Men-Women'!$E28)=0,"",VLOOKUP('Men-Women'!$E28,Data!$D$2:$H$97,'Men-Women'!F$8,FALSE))</f>
        <v/>
      </c>
      <c r="G28" s="80" t="str">
        <f>IF(COUNTIF(Data!$D$2:$D$97,'Men-Women'!$E28)=0,"",VLOOKUP('Men-Women'!$E28,Data!$D$2:$H$97,'Men-Women'!G$8,FALSE))</f>
        <v/>
      </c>
      <c r="H28" s="80" t="str">
        <f>IF(COUNTIF(Data!$D$2:$D$97,'Men-Women'!$E28)=0,"",VLOOKUP('Men-Women'!$E28,Data!$D$2:$H$97,'Men-Women'!H$8,FALSE))</f>
        <v/>
      </c>
      <c r="I28" s="80" t="str">
        <f>IF(COUNTIF(Data!$D$2:$D$97,'Men-Women'!$E28)=0,"",VLOOKUP('Men-Women'!$E28,Data!$D$2:$H$97,'Men-Women'!I$8,FALSE))</f>
        <v/>
      </c>
      <c r="J28" s="77" t="str">
        <f>IF(B28&lt;&gt;B27,B28,IF($D28="","",INDEX('Start List'!$D$15:$D$139,MATCH($D28,'Start List'!$C$15:$C$139,0))))</f>
        <v>Women</v>
      </c>
      <c r="K28" s="77" t="str">
        <f>IF($D28="","",INDEX('Start List'!$E$15:$E$139,MATCH($D28,'Start List'!$C$15:$C$139,0)))</f>
        <v/>
      </c>
      <c r="L28" s="77" t="str">
        <f>IF($D28="","",INDEX('Start List'!$H$15:$H$139,MATCH($D28,'Start List'!$C$15:$C$139,0)))</f>
        <v/>
      </c>
      <c r="M28" s="79" t="str">
        <f>IF($D28="","",INDEX('Start List'!$F$15:$F$139,MATCH($D28,'Start List'!$C$15:$C$139,0)))</f>
        <v/>
      </c>
      <c r="N28" s="80" t="str">
        <f>IF($D28="","",INDEX('Start List'!K$15:K$139,MATCH($D28,'Start List'!$C$15:$C$139,0)))</f>
        <v/>
      </c>
      <c r="O28" s="80" t="str">
        <f>IF($D28="","",INDEX('Start List'!L$15:L$139,MATCH($D28,'Start List'!$C$15:$C$139,0)))</f>
        <v/>
      </c>
      <c r="P28" s="80" t="str">
        <f>IF($D28="","",INDEX('Start List'!M$15:M$139,MATCH($D28,'Start List'!$C$15:$C$139,0)))</f>
        <v/>
      </c>
      <c r="Q28" s="80" t="str">
        <f>IF($D28="","",INDEX('Start List'!N$15:N$139,MATCH($D28,'Start List'!$C$15:$C$139,0)))</f>
        <v/>
      </c>
      <c r="R28" s="80" t="str">
        <f>IF($D28="","",INDEX('Start List'!O$15:O$139,MATCH($D28,'Start List'!$C$15:$C$139,0)))</f>
        <v/>
      </c>
      <c r="S28" s="80" t="str">
        <f>IF($D28="","",INDEX('Start List'!P$15:P$139,MATCH($D28,'Start List'!$C$15:$C$139,0)))</f>
        <v/>
      </c>
      <c r="T28" s="80" t="str">
        <f>IF($D28="","",INDEX('Start List'!Q$15:Q$139,MATCH($D28,'Start List'!$C$15:$C$139,0)))</f>
        <v/>
      </c>
      <c r="U28" s="80" t="str">
        <f>IF($D28="","",INDEX('Start List'!R$15:R$139,MATCH($D28,'Start List'!$C$15:$C$139,0)))</f>
        <v/>
      </c>
      <c r="V28" s="80" t="str">
        <f>IF($D28="","",INDEX('Start List'!S$15:S$139,MATCH($D28,'Start List'!$C$15:$C$139,0)))</f>
        <v/>
      </c>
      <c r="W28" s="80" t="str">
        <f>IF($D28="","",INDEX('Start List'!T$15:T$139,MATCH($D28,'Start List'!$C$15:$C$139,0)))</f>
        <v/>
      </c>
      <c r="X28" s="80" t="str">
        <f>IF($D28="","",INDEX('Start List'!U$15:U$139,MATCH($D28,'Start List'!$C$15:$C$139,0)))</f>
        <v/>
      </c>
      <c r="Y28" s="80" t="str">
        <f>IF($D28="","",INDEX('Start List'!V$15:V$139,MATCH($D28,'Start List'!$C$15:$C$139,0)))</f>
        <v/>
      </c>
      <c r="Z28" s="80" t="str">
        <f>IF($D28="","",INDEX('Start List'!W$15:W$139,MATCH($D28,'Start List'!$C$15:$C$139,0)))</f>
        <v/>
      </c>
      <c r="AA28" s="80" t="str">
        <f>IF($D28="","",INDEX('Start List'!X$15:X$139,MATCH($D28,'Start List'!$C$15:$C$139,0)))</f>
        <v/>
      </c>
      <c r="AB28" s="80" t="str">
        <f>IF($D28="","",INDEX('Start List'!Y$15:Y$139,MATCH($D28,'Start List'!$C$15:$C$139,0)))</f>
        <v/>
      </c>
    </row>
    <row r="29" spans="1:28" s="83" customFormat="1" ht="12.75" customHeight="1" collapsed="1" x14ac:dyDescent="0.2">
      <c r="A29" s="59">
        <f>IF(OR(COUNT('Start List'!A:A)+2='Men-Women'!A28,A28=""),"",'Men-Women'!A28+1)</f>
        <v>21</v>
      </c>
      <c r="B29" s="228" t="str">
        <f>IF(A29="","",IF(COUNTIF($B$9:B28,$B$9)-1=COUNTIF('Start List'!C:C,"&gt;999"),'Start List'!$J$10,'Start List'!$J$9))</f>
        <v>Women</v>
      </c>
      <c r="C29" s="75">
        <f>IF(OR(B29="",COUNTIF($B$9:B29,B29)=1),"",COUNTIF($B$9:B29,B29)-1)</f>
        <v>1</v>
      </c>
      <c r="D29" s="227">
        <f ca="1">IF(""=C29,"",IF(COUNTIF($D$9:D28,"")=2,LARGE('Start List'!C:C,A27),LARGE('Start List'!C:C,A28)))</f>
        <v>864.42189199999996</v>
      </c>
      <c r="E29" s="79" t="str">
        <f>IF(C29="","",VLOOKUP(B29,Data!$AK$2:$AN$7,4,FALSE)&amp;C29)</f>
        <v>W1</v>
      </c>
      <c r="F29" s="80">
        <f ca="1">IF(COUNTIF(Data!$D$2:$D$97,'Men-Women'!$E29)=0,"",VLOOKUP('Men-Women'!$E29,Data!$D$2:$H$97,'Men-Women'!F$8,FALSE))</f>
        <v>18</v>
      </c>
      <c r="G29" s="80">
        <f ca="1">IF(COUNTIF(Data!$D$2:$D$97,'Men-Women'!$E29)=0,"",VLOOKUP('Men-Women'!$E29,Data!$D$2:$H$97,'Men-Women'!G$8,FALSE))</f>
        <v>10</v>
      </c>
      <c r="H29" s="80">
        <f>IF(COUNTIF(Data!$D$2:$D$97,'Men-Women'!$E29)=0,"",VLOOKUP('Men-Women'!$E29,Data!$D$2:$H$97,'Men-Women'!H$8,FALSE))</f>
        <v>8</v>
      </c>
      <c r="I29" s="80">
        <f>IF(COUNTIF(Data!$D$2:$D$97,'Men-Women'!$E29)=0,"",VLOOKUP('Men-Women'!$E29,Data!$D$2:$H$97,'Men-Women'!I$8,FALSE))</f>
        <v>5</v>
      </c>
      <c r="J29" s="77" t="str">
        <f ca="1">IF(B29&lt;&gt;B28,B29,IF($D29="","",INDEX('Start List'!$D$15:$D$139,MATCH($D29,'Start List'!$C$15:$C$139,0))))</f>
        <v>Pereglin Valentina</v>
      </c>
      <c r="K29" s="77" t="str">
        <f ca="1">IF($D29="","",INDEX('Start List'!$E$15:$E$139,MATCH($D29,'Start List'!$C$15:$C$139,0)))</f>
        <v>CRO</v>
      </c>
      <c r="L29" s="77" t="e">
        <f ca="1">IF($D29="","",INDEX('Start List'!$H$15:$H$139,MATCH($D29,'Start List'!$C$15:$C$139,0)))</f>
        <v>#N/A</v>
      </c>
      <c r="M29" s="79" t="str">
        <f ca="1">IF($D29="","",INDEX('Start List'!$F$15:$F$139,MATCH($D29,'Start List'!$C$15:$C$139,0)))</f>
        <v>W</v>
      </c>
      <c r="N29" s="80">
        <f ca="1">IF($D29="","",INDEX('Start List'!K$15:K$139,MATCH($D29,'Start List'!$C$15:$C$139,0)))</f>
        <v>280</v>
      </c>
      <c r="O29" s="80">
        <f ca="1">IF($D29="","",INDEX('Start List'!L$15:L$139,MATCH($D29,'Start List'!$C$15:$C$139,0)))</f>
        <v>12</v>
      </c>
      <c r="P29" s="80">
        <f ca="1">IF($D29="","",INDEX('Start List'!M$15:M$139,MATCH($D29,'Start List'!$C$15:$C$139,0)))</f>
        <v>4</v>
      </c>
      <c r="Q29" s="80" t="str">
        <f ca="1">IF($D29="","",INDEX('Start List'!N$15:N$139,MATCH($D29,'Start List'!$C$15:$C$139,0)))</f>
        <v/>
      </c>
      <c r="R29" s="80">
        <f ca="1">IF($D29="","",INDEX('Start List'!O$15:O$139,MATCH($D29,'Start List'!$C$15:$C$139,0)))</f>
        <v>294</v>
      </c>
      <c r="S29" s="80">
        <f ca="1">IF($D29="","",INDEX('Start List'!P$15:P$139,MATCH($D29,'Start List'!$C$15:$C$139,0)))</f>
        <v>16</v>
      </c>
      <c r="T29" s="80">
        <f ca="1">IF($D29="","",INDEX('Start List'!Q$15:Q$139,MATCH($D29,'Start List'!$C$15:$C$139,0)))</f>
        <v>8</v>
      </c>
      <c r="U29" s="80" t="str">
        <f ca="1">IF($D29="","",INDEX('Start List'!R$15:R$139,MATCH($D29,'Start List'!$C$15:$C$139,0)))</f>
        <v/>
      </c>
      <c r="V29" s="80">
        <f ca="1">IF($D29="","",INDEX('Start List'!S$15:S$139,MATCH($D29,'Start List'!$C$15:$C$139,0)))</f>
        <v>290</v>
      </c>
      <c r="W29" s="80">
        <f ca="1">IF($D29="","",INDEX('Start List'!T$15:T$139,MATCH($D29,'Start List'!$C$15:$C$139,0)))</f>
        <v>14</v>
      </c>
      <c r="X29" s="80">
        <f ca="1">IF($D29="","",INDEX('Start List'!U$15:U$139,MATCH($D29,'Start List'!$C$15:$C$139,0)))</f>
        <v>7</v>
      </c>
      <c r="Y29" s="80" t="str">
        <f ca="1">IF($D29="","",INDEX('Start List'!V$15:V$139,MATCH($D29,'Start List'!$C$15:$C$139,0)))</f>
        <v/>
      </c>
      <c r="Z29" s="80">
        <f ca="1">IF($D29="","",INDEX('Start List'!W$15:W$139,MATCH($D29,'Start List'!$C$15:$C$139,0)))</f>
        <v>864</v>
      </c>
      <c r="AA29" s="80">
        <f ca="1">IF($D29="","",INDEX('Start List'!X$15:X$139,MATCH($D29,'Start List'!$C$15:$C$139,0)))</f>
        <v>42</v>
      </c>
      <c r="AB29" s="80">
        <f ca="1">IF($D29="","",INDEX('Start List'!Y$15:Y$139,MATCH($D29,'Start List'!$C$15:$C$139,0)))</f>
        <v>19</v>
      </c>
    </row>
    <row r="30" spans="1:28" s="83" customFormat="1" ht="12.75" customHeight="1" collapsed="1" x14ac:dyDescent="0.2">
      <c r="A30" s="59">
        <f>IF(OR(COUNT('Start List'!A:A)+2='Men-Women'!A29,A29=""),"",'Men-Women'!A29+1)</f>
        <v>22</v>
      </c>
      <c r="B30" s="228" t="str">
        <f>IF(A30="","",IF(COUNTIF($B$9:B29,$B$9)-1=COUNTIF('Start List'!C:C,"&gt;999"),'Start List'!$J$10,'Start List'!$J$9))</f>
        <v>Women</v>
      </c>
      <c r="C30" s="75">
        <f>IF(OR(B30="",COUNTIF($B$9:B30,B30)=1),"",COUNTIF($B$9:B30,B30)-1)</f>
        <v>2</v>
      </c>
      <c r="D30" s="227">
        <f ca="1">IF(""=C30,"",IF(COUNTIF($D$9:D29,"")=2,LARGE('Start List'!C:C,A28),LARGE('Start List'!C:C,A29)))</f>
        <v>863.38239399999998</v>
      </c>
      <c r="E30" s="79" t="str">
        <f>IF(C30="","",VLOOKUP(B30,Data!$AK$2:$AN$7,4,FALSE)&amp;C30)</f>
        <v>W2</v>
      </c>
      <c r="F30" s="80">
        <f ca="1">IF(COUNTIF(Data!$D$2:$D$97,'Men-Women'!$E30)=0,"",VLOOKUP('Men-Women'!$E30,Data!$D$2:$H$97,'Men-Women'!F$8,FALSE))</f>
        <v>25</v>
      </c>
      <c r="G30" s="80">
        <f ca="1">IF(COUNTIF(Data!$D$2:$D$97,'Men-Women'!$E30)=0,"",VLOOKUP('Men-Women'!$E30,Data!$D$2:$H$97,'Men-Women'!G$8,FALSE))</f>
        <v>14</v>
      </c>
      <c r="H30" s="80">
        <f>IF(COUNTIF(Data!$D$2:$D$97,'Men-Women'!$E30)=0,"",VLOOKUP('Men-Women'!$E30,Data!$D$2:$H$97,'Men-Women'!H$8,FALSE))</f>
        <v>11</v>
      </c>
      <c r="I30" s="80">
        <f>IF(COUNTIF(Data!$D$2:$D$97,'Men-Women'!$E30)=0,"",VLOOKUP('Men-Women'!$E30,Data!$D$2:$H$97,'Men-Women'!I$8,FALSE))</f>
        <v>6</v>
      </c>
      <c r="J30" s="77" t="str">
        <f ca="1">IF(B30&lt;&gt;B29,B30,IF($D30="","",INDEX('Start List'!$D$15:$D$139,MATCH($D30,'Start List'!$C$15:$C$139,0))))</f>
        <v>Oborovečki Mihaela</v>
      </c>
      <c r="K30" s="77" t="str">
        <f ca="1">IF($D30="","",INDEX('Start List'!$E$15:$E$139,MATCH($D30,'Start List'!$C$15:$C$139,0)))</f>
        <v>CRO</v>
      </c>
      <c r="L30" s="77" t="e">
        <f ca="1">IF($D30="","",INDEX('Start List'!$H$15:$H$139,MATCH($D30,'Start List'!$C$15:$C$139,0)))</f>
        <v>#N/A</v>
      </c>
      <c r="M30" s="79" t="str">
        <f ca="1">IF($D30="","",INDEX('Start List'!$F$15:$F$139,MATCH($D30,'Start List'!$C$15:$C$139,0)))</f>
        <v>W</v>
      </c>
      <c r="N30" s="80">
        <f ca="1">IF($D30="","",INDEX('Start List'!K$15:K$139,MATCH($D30,'Start List'!$C$15:$C$139,0)))</f>
        <v>276</v>
      </c>
      <c r="O30" s="80">
        <f ca="1">IF($D30="","",INDEX('Start List'!L$15:L$139,MATCH($D30,'Start List'!$C$15:$C$139,0)))</f>
        <v>9</v>
      </c>
      <c r="P30" s="80">
        <f ca="1">IF($D30="","",INDEX('Start List'!M$15:M$139,MATCH($D30,'Start List'!$C$15:$C$139,0)))</f>
        <v>6</v>
      </c>
      <c r="Q30" s="80" t="str">
        <f ca="1">IF($D30="","",INDEX('Start List'!N$15:N$139,MATCH($D30,'Start List'!$C$15:$C$139,0)))</f>
        <v/>
      </c>
      <c r="R30" s="80">
        <f ca="1">IF($D30="","",INDEX('Start List'!O$15:O$139,MATCH($D30,'Start List'!$C$15:$C$139,0)))</f>
        <v>293</v>
      </c>
      <c r="S30" s="80">
        <f ca="1">IF($D30="","",INDEX('Start List'!P$15:P$139,MATCH($D30,'Start List'!$C$15:$C$139,0)))</f>
        <v>15</v>
      </c>
      <c r="T30" s="80">
        <f ca="1">IF($D30="","",INDEX('Start List'!Q$15:Q$139,MATCH($D30,'Start List'!$C$15:$C$139,0)))</f>
        <v>8</v>
      </c>
      <c r="U30" s="80" t="str">
        <f ca="1">IF($D30="","",INDEX('Start List'!R$15:R$139,MATCH($D30,'Start List'!$C$15:$C$139,0)))</f>
        <v/>
      </c>
      <c r="V30" s="80">
        <f ca="1">IF($D30="","",INDEX('Start List'!S$15:S$139,MATCH($D30,'Start List'!$C$15:$C$139,0)))</f>
        <v>294</v>
      </c>
      <c r="W30" s="80">
        <f ca="1">IF($D30="","",INDEX('Start List'!T$15:T$139,MATCH($D30,'Start List'!$C$15:$C$139,0)))</f>
        <v>14</v>
      </c>
      <c r="X30" s="80">
        <f ca="1">IF($D30="","",INDEX('Start List'!U$15:U$139,MATCH($D30,'Start List'!$C$15:$C$139,0)))</f>
        <v>10</v>
      </c>
      <c r="Y30" s="80" t="str">
        <f ca="1">IF($D30="","",INDEX('Start List'!V$15:V$139,MATCH($D30,'Start List'!$C$15:$C$139,0)))</f>
        <v/>
      </c>
      <c r="Z30" s="80">
        <f ca="1">IF($D30="","",INDEX('Start List'!W$15:W$139,MATCH($D30,'Start List'!$C$15:$C$139,0)))</f>
        <v>863</v>
      </c>
      <c r="AA30" s="80">
        <f ca="1">IF($D30="","",INDEX('Start List'!X$15:X$139,MATCH($D30,'Start List'!$C$15:$C$139,0)))</f>
        <v>38</v>
      </c>
      <c r="AB30" s="80">
        <f ca="1">IF($D30="","",INDEX('Start List'!Y$15:Y$139,MATCH($D30,'Start List'!$C$15:$C$139,0)))</f>
        <v>24</v>
      </c>
    </row>
    <row r="31" spans="1:28" s="83" customFormat="1" ht="12.75" customHeight="1" x14ac:dyDescent="0.2">
      <c r="A31" s="59">
        <f>IF(OR(COUNT('Start List'!A:A)+2='Men-Women'!A30,A30=""),"",'Men-Women'!A30+1)</f>
        <v>23</v>
      </c>
      <c r="B31" s="228" t="str">
        <f>IF(A31="","",IF(COUNTIF($B$9:B30,$B$9)-1=COUNTIF('Start List'!C:C,"&gt;999"),'Start List'!$J$10,'Start List'!$J$9))</f>
        <v>Women</v>
      </c>
      <c r="C31" s="75">
        <f>IF(OR(B31="",COUNTIF($B$9:B31,B31)=1),"",COUNTIF($B$9:B31,B31)-1)</f>
        <v>3</v>
      </c>
      <c r="D31" s="227">
        <f ca="1">IF(""=C31,"",IF(COUNTIF($D$9:D30,"")=2,LARGE('Start List'!C:C,A29),LARGE('Start List'!C:C,A30)))</f>
        <v>824.18168200000002</v>
      </c>
      <c r="E31" s="79" t="str">
        <f>IF(C31="","",VLOOKUP(B31,Data!$AK$2:$AN$7,4,FALSE)&amp;C31)</f>
        <v>W3</v>
      </c>
      <c r="F31" s="80">
        <f ca="1">IF(COUNTIF(Data!$D$2:$D$97,'Men-Women'!$E31)=0,"",VLOOKUP('Men-Women'!$E31,Data!$D$2:$H$97,'Men-Women'!F$8,FALSE))</f>
        <v>28</v>
      </c>
      <c r="G31" s="80">
        <f ca="1">IF(COUNTIF(Data!$D$2:$D$97,'Men-Women'!$E31)=0,"",VLOOKUP('Men-Women'!$E31,Data!$D$2:$H$97,'Men-Women'!G$8,FALSE))</f>
        <v>16</v>
      </c>
      <c r="H31" s="80">
        <f>IF(COUNTIF(Data!$D$2:$D$97,'Men-Women'!$E31)=0,"",VLOOKUP('Men-Women'!$E31,Data!$D$2:$H$97,'Men-Women'!H$8,FALSE))</f>
        <v>12</v>
      </c>
      <c r="I31" s="80">
        <f>IF(COUNTIF(Data!$D$2:$D$97,'Men-Women'!$E31)=0,"",VLOOKUP('Men-Women'!$E31,Data!$D$2:$H$97,'Men-Women'!I$8,FALSE))</f>
        <v>6</v>
      </c>
      <c r="J31" s="77" t="str">
        <f ca="1">IF(B31&lt;&gt;B30,B31,IF($D31="","",INDEX('Start List'!$D$15:$D$139,MATCH($D31,'Start List'!$C$15:$C$139,0))))</f>
        <v>Karla Bartolović</v>
      </c>
      <c r="K31" s="77" t="str">
        <f ca="1">IF($D31="","",INDEX('Start List'!$E$15:$E$139,MATCH($D31,'Start List'!$C$15:$C$139,0)))</f>
        <v>CRO</v>
      </c>
      <c r="L31" s="77" t="e">
        <f ca="1">IF($D31="","",INDEX('Start List'!$H$15:$H$139,MATCH($D31,'Start List'!$C$15:$C$139,0)))</f>
        <v>#N/A</v>
      </c>
      <c r="M31" s="79" t="str">
        <f ca="1">IF($D31="","",INDEX('Start List'!$F$15:$F$139,MATCH($D31,'Start List'!$C$15:$C$139,0)))</f>
        <v>C</v>
      </c>
      <c r="N31" s="80">
        <f ca="1">IF($D31="","",INDEX('Start List'!K$15:K$139,MATCH($D31,'Start List'!$C$15:$C$139,0)))</f>
        <v>264</v>
      </c>
      <c r="O31" s="80">
        <f ca="1">IF($D31="","",INDEX('Start List'!L$15:L$139,MATCH($D31,'Start List'!$C$15:$C$139,0)))</f>
        <v>4</v>
      </c>
      <c r="P31" s="80">
        <f ca="1">IF($D31="","",INDEX('Start List'!M$15:M$139,MATCH($D31,'Start List'!$C$15:$C$139,0)))</f>
        <v>4</v>
      </c>
      <c r="Q31" s="80" t="str">
        <f ca="1">IF($D31="","",INDEX('Start List'!N$15:N$139,MATCH($D31,'Start List'!$C$15:$C$139,0)))</f>
        <v/>
      </c>
      <c r="R31" s="80">
        <f ca="1">IF($D31="","",INDEX('Start List'!O$15:O$139,MATCH($D31,'Start List'!$C$15:$C$139,0)))</f>
        <v>271</v>
      </c>
      <c r="S31" s="80">
        <f ca="1">IF($D31="","",INDEX('Start List'!P$15:P$139,MATCH($D31,'Start List'!$C$15:$C$139,0)))</f>
        <v>3</v>
      </c>
      <c r="T31" s="80">
        <f ca="1">IF($D31="","",INDEX('Start List'!Q$15:Q$139,MATCH($D31,'Start List'!$C$15:$C$139,0)))</f>
        <v>5</v>
      </c>
      <c r="U31" s="80" t="str">
        <f ca="1">IF($D31="","",INDEX('Start List'!R$15:R$139,MATCH($D31,'Start List'!$C$15:$C$139,0)))</f>
        <v/>
      </c>
      <c r="V31" s="80">
        <f ca="1">IF($D31="","",INDEX('Start List'!S$15:S$139,MATCH($D31,'Start List'!$C$15:$C$139,0)))</f>
        <v>289</v>
      </c>
      <c r="W31" s="80">
        <f ca="1">IF($D31="","",INDEX('Start List'!T$15:T$139,MATCH($D31,'Start List'!$C$15:$C$139,0)))</f>
        <v>11</v>
      </c>
      <c r="X31" s="80">
        <f ca="1">IF($D31="","",INDEX('Start List'!U$15:U$139,MATCH($D31,'Start List'!$C$15:$C$139,0)))</f>
        <v>8</v>
      </c>
      <c r="Y31" s="80" t="str">
        <f ca="1">IF($D31="","",INDEX('Start List'!V$15:V$139,MATCH($D31,'Start List'!$C$15:$C$139,0)))</f>
        <v/>
      </c>
      <c r="Z31" s="80">
        <f ca="1">IF($D31="","",INDEX('Start List'!W$15:W$139,MATCH($D31,'Start List'!$C$15:$C$139,0)))</f>
        <v>824</v>
      </c>
      <c r="AA31" s="80">
        <f ca="1">IF($D31="","",INDEX('Start List'!X$15:X$139,MATCH($D31,'Start List'!$C$15:$C$139,0)))</f>
        <v>18</v>
      </c>
      <c r="AB31" s="80">
        <f ca="1">IF($D31="","",INDEX('Start List'!Y$15:Y$139,MATCH($D31,'Start List'!$C$15:$C$139,0)))</f>
        <v>17</v>
      </c>
    </row>
    <row r="32" spans="1:28" s="78" customFormat="1" ht="12.75" customHeight="1" x14ac:dyDescent="0.2">
      <c r="A32" s="59">
        <f>IF(OR(COUNT('Start List'!A:A)+2='Men-Women'!A31,A31=""),"",'Men-Women'!A31+1)</f>
        <v>24</v>
      </c>
      <c r="B32" s="228" t="str">
        <f>IF(A32="","",IF(COUNTIF($B$9:B31,$B$9)-1=COUNTIF('Start List'!C:C,"&gt;999"),'Start List'!$J$10,'Start List'!$J$9))</f>
        <v>Women</v>
      </c>
      <c r="C32" s="75">
        <f>IF(OR(B32="",COUNTIF($B$9:B32,B32)=1),"",COUNTIF($B$9:B32,B32)-1)</f>
        <v>4</v>
      </c>
      <c r="D32" s="227">
        <f ca="1">IF(""=C32,"",IF(COUNTIF($D$9:D31,"")=2,LARGE('Start List'!C:C,A30),LARGE('Start List'!C:C,A31)))</f>
        <v>817.21138700000006</v>
      </c>
      <c r="E32" s="79" t="str">
        <f>IF(C32="","",VLOOKUP(B32,Data!$AK$2:$AN$7,4,FALSE)&amp;C32)</f>
        <v>W4</v>
      </c>
      <c r="F32" s="80">
        <f ca="1">IF(COUNTIF(Data!$D$2:$D$97,'Men-Women'!$E32)=0,"",VLOOKUP('Men-Women'!$E32,Data!$D$2:$H$97,'Men-Women'!F$8,FALSE))</f>
        <v>21</v>
      </c>
      <c r="G32" s="80">
        <f ca="1">IF(COUNTIF(Data!$D$2:$D$97,'Men-Women'!$E32)=0,"",VLOOKUP('Men-Women'!$E32,Data!$D$2:$H$97,'Men-Women'!G$8,FALSE))</f>
        <v>12</v>
      </c>
      <c r="H32" s="80">
        <f>IF(COUNTIF(Data!$D$2:$D$97,'Men-Women'!$E32)=0,"",VLOOKUP('Men-Women'!$E32,Data!$D$2:$H$97,'Men-Women'!H$8,FALSE))</f>
        <v>9</v>
      </c>
      <c r="I32" s="80">
        <f>IF(COUNTIF(Data!$D$2:$D$97,'Men-Women'!$E32)=0,"",VLOOKUP('Men-Women'!$E32,Data!$D$2:$H$97,'Men-Women'!I$8,FALSE))</f>
        <v>5</v>
      </c>
      <c r="J32" s="77" t="str">
        <f ca="1">IF(B32&lt;&gt;B31,B32,IF($D32="","",INDEX('Start List'!$D$15:$D$139,MATCH($D32,'Start List'!$C$15:$C$139,0))))</f>
        <v>Iva Popović-Gecan</v>
      </c>
      <c r="K32" s="77" t="str">
        <f ca="1">IF($D32="","",INDEX('Start List'!$E$15:$E$139,MATCH($D32,'Start List'!$C$15:$C$139,0)))</f>
        <v>CRO</v>
      </c>
      <c r="L32" s="77" t="e">
        <f ca="1">IF($D32="","",INDEX('Start List'!$H$15:$H$139,MATCH($D32,'Start List'!$C$15:$C$139,0)))</f>
        <v>#N/A</v>
      </c>
      <c r="M32" s="79" t="str">
        <f ca="1">IF($D32="","",INDEX('Start List'!$F$15:$F$139,MATCH($D32,'Start List'!$C$15:$C$139,0)))</f>
        <v>J</v>
      </c>
      <c r="N32" s="80">
        <f ca="1">IF($D32="","",INDEX('Start List'!K$15:K$139,MATCH($D32,'Start List'!$C$15:$C$139,0)))</f>
        <v>257</v>
      </c>
      <c r="O32" s="80">
        <f ca="1">IF($D32="","",INDEX('Start List'!L$15:L$139,MATCH($D32,'Start List'!$C$15:$C$139,0)))</f>
        <v>4</v>
      </c>
      <c r="P32" s="80">
        <f ca="1">IF($D32="","",INDEX('Start List'!M$15:M$139,MATCH($D32,'Start List'!$C$15:$C$139,0)))</f>
        <v>4</v>
      </c>
      <c r="Q32" s="80" t="str">
        <f ca="1">IF($D32="","",INDEX('Start List'!N$15:N$139,MATCH($D32,'Start List'!$C$15:$C$139,0)))</f>
        <v/>
      </c>
      <c r="R32" s="80">
        <f ca="1">IF($D32="","",INDEX('Start List'!O$15:O$139,MATCH($D32,'Start List'!$C$15:$C$139,0)))</f>
        <v>280</v>
      </c>
      <c r="S32" s="80">
        <f ca="1">IF($D32="","",INDEX('Start List'!P$15:P$139,MATCH($D32,'Start List'!$C$15:$C$139,0)))</f>
        <v>10</v>
      </c>
      <c r="T32" s="80">
        <f ca="1">IF($D32="","",INDEX('Start List'!Q$15:Q$139,MATCH($D32,'Start List'!$C$15:$C$139,0)))</f>
        <v>4</v>
      </c>
      <c r="U32" s="80" t="str">
        <f ca="1">IF($D32="","",INDEX('Start List'!R$15:R$139,MATCH($D32,'Start List'!$C$15:$C$139,0)))</f>
        <v/>
      </c>
      <c r="V32" s="80">
        <f ca="1">IF($D32="","",INDEX('Start List'!S$15:S$139,MATCH($D32,'Start List'!$C$15:$C$139,0)))</f>
        <v>280</v>
      </c>
      <c r="W32" s="80">
        <f ca="1">IF($D32="","",INDEX('Start List'!T$15:T$139,MATCH($D32,'Start List'!$C$15:$C$139,0)))</f>
        <v>7</v>
      </c>
      <c r="X32" s="80">
        <f ca="1">IF($D32="","",INDEX('Start List'!U$15:U$139,MATCH($D32,'Start List'!$C$15:$C$139,0)))</f>
        <v>6</v>
      </c>
      <c r="Y32" s="80" t="str">
        <f ca="1">IF($D32="","",INDEX('Start List'!V$15:V$139,MATCH($D32,'Start List'!$C$15:$C$139,0)))</f>
        <v/>
      </c>
      <c r="Z32" s="80">
        <f ca="1">IF($D32="","",INDEX('Start List'!W$15:W$139,MATCH($D32,'Start List'!$C$15:$C$139,0)))</f>
        <v>817</v>
      </c>
      <c r="AA32" s="80">
        <f ca="1">IF($D32="","",INDEX('Start List'!X$15:X$139,MATCH($D32,'Start List'!$C$15:$C$139,0)))</f>
        <v>21</v>
      </c>
      <c r="AB32" s="80">
        <f ca="1">IF($D32="","",INDEX('Start List'!Y$15:Y$139,MATCH($D32,'Start List'!$C$15:$C$139,0)))</f>
        <v>14</v>
      </c>
    </row>
    <row r="33" spans="1:28" s="83" customFormat="1" ht="12.75" customHeight="1" x14ac:dyDescent="0.2">
      <c r="A33" s="59">
        <f>IF(OR(COUNT('Start List'!A:A)+2='Men-Women'!A32,A32=""),"",'Men-Women'!A32+1)</f>
        <v>25</v>
      </c>
      <c r="B33" s="228" t="str">
        <f>IF(A33="","",IF(COUNTIF($B$9:B32,$B$9)-1=COUNTIF('Start List'!C:C,"&gt;999"),'Start List'!$J$10,'Start List'!$J$9))</f>
        <v>Women</v>
      </c>
      <c r="C33" s="75">
        <f>IF(OR(B33="",COUNTIF($B$9:B33,B33)=1),"",COUNTIF($B$9:B33,B33)-1)</f>
        <v>5</v>
      </c>
      <c r="D33" s="227">
        <f ca="1">IF(""=C33,"",IF(COUNTIF($D$9:D32,"")=2,LARGE('Start List'!C:C,A31),LARGE('Start List'!C:C,A32)))</f>
        <v>804.22098400000004</v>
      </c>
      <c r="E33" s="79" t="str">
        <f>IF(C33="","",VLOOKUP(B33,Data!$AK$2:$AN$7,4,FALSE)&amp;C33)</f>
        <v>W5</v>
      </c>
      <c r="F33" s="80">
        <f ca="1">IF(COUNTIF(Data!$D$2:$D$97,'Men-Women'!$E33)=0,"",VLOOKUP('Men-Women'!$E33,Data!$D$2:$H$97,'Men-Women'!F$8,FALSE))</f>
        <v>23</v>
      </c>
      <c r="G33" s="80">
        <f ca="1">IF(COUNTIF(Data!$D$2:$D$97,'Men-Women'!$E33)=0,"",VLOOKUP('Men-Women'!$E33,Data!$D$2:$H$97,'Men-Women'!G$8,FALSE))</f>
        <v>13</v>
      </c>
      <c r="H33" s="80">
        <f>IF(COUNTIF(Data!$D$2:$D$97,'Men-Women'!$E33)=0,"",VLOOKUP('Men-Women'!$E33,Data!$D$2:$H$97,'Men-Women'!H$8,FALSE))</f>
        <v>9</v>
      </c>
      <c r="I33" s="80">
        <f>IF(COUNTIF(Data!$D$2:$D$97,'Men-Women'!$E33)=0,"",VLOOKUP('Men-Women'!$E33,Data!$D$2:$H$97,'Men-Women'!I$8,FALSE))</f>
        <v>5</v>
      </c>
      <c r="J33" s="77" t="str">
        <f ca="1">IF(B33&lt;&gt;B32,B33,IF($D33="","",INDEX('Start List'!$D$15:$D$139,MATCH($D33,'Start List'!$C$15:$C$139,0))))</f>
        <v>Petra Petak</v>
      </c>
      <c r="K33" s="77" t="str">
        <f ca="1">IF($D33="","",INDEX('Start List'!$E$15:$E$139,MATCH($D33,'Start List'!$C$15:$C$139,0)))</f>
        <v>CRO</v>
      </c>
      <c r="L33" s="77" t="e">
        <f ca="1">IF($D33="","",INDEX('Start List'!$H$15:$H$139,MATCH($D33,'Start List'!$C$15:$C$139,0)))</f>
        <v>#N/A</v>
      </c>
      <c r="M33" s="79" t="str">
        <f ca="1">IF($D33="","",INDEX('Start List'!$F$15:$F$139,MATCH($D33,'Start List'!$C$15:$C$139,0)))</f>
        <v>C</v>
      </c>
      <c r="N33" s="80">
        <f ca="1">IF($D33="","",INDEX('Start List'!K$15:K$139,MATCH($D33,'Start List'!$C$15:$C$139,0)))</f>
        <v>250</v>
      </c>
      <c r="O33" s="80">
        <f ca="1">IF($D33="","",INDEX('Start List'!L$15:L$139,MATCH($D33,'Start List'!$C$15:$C$139,0)))</f>
        <v>7</v>
      </c>
      <c r="P33" s="80">
        <f ca="1">IF($D33="","",INDEX('Start List'!M$15:M$139,MATCH($D33,'Start List'!$C$15:$C$139,0)))</f>
        <v>1</v>
      </c>
      <c r="Q33" s="80" t="str">
        <f ca="1">IF($D33="","",INDEX('Start List'!N$15:N$139,MATCH($D33,'Start List'!$C$15:$C$139,0)))</f>
        <v/>
      </c>
      <c r="R33" s="80">
        <f ca="1">IF($D33="","",INDEX('Start List'!O$15:O$139,MATCH($D33,'Start List'!$C$15:$C$139,0)))</f>
        <v>281</v>
      </c>
      <c r="S33" s="80">
        <f ca="1">IF($D33="","",INDEX('Start List'!P$15:P$139,MATCH($D33,'Start List'!$C$15:$C$139,0)))</f>
        <v>11</v>
      </c>
      <c r="T33" s="80">
        <f ca="1">IF($D33="","",INDEX('Start List'!Q$15:Q$139,MATCH($D33,'Start List'!$C$15:$C$139,0)))</f>
        <v>5</v>
      </c>
      <c r="U33" s="80" t="str">
        <f ca="1">IF($D33="","",INDEX('Start List'!R$15:R$139,MATCH($D33,'Start List'!$C$15:$C$139,0)))</f>
        <v/>
      </c>
      <c r="V33" s="80">
        <f ca="1">IF($D33="","",INDEX('Start List'!S$15:S$139,MATCH($D33,'Start List'!$C$15:$C$139,0)))</f>
        <v>273</v>
      </c>
      <c r="W33" s="80">
        <f ca="1">IF($D33="","",INDEX('Start List'!T$15:T$139,MATCH($D33,'Start List'!$C$15:$C$139,0)))</f>
        <v>4</v>
      </c>
      <c r="X33" s="80">
        <f ca="1">IF($D33="","",INDEX('Start List'!U$15:U$139,MATCH($D33,'Start List'!$C$15:$C$139,0)))</f>
        <v>4</v>
      </c>
      <c r="Y33" s="80" t="str">
        <f ca="1">IF($D33="","",INDEX('Start List'!V$15:V$139,MATCH($D33,'Start List'!$C$15:$C$139,0)))</f>
        <v/>
      </c>
      <c r="Z33" s="80">
        <f ca="1">IF($D33="","",INDEX('Start List'!W$15:W$139,MATCH($D33,'Start List'!$C$15:$C$139,0)))</f>
        <v>804</v>
      </c>
      <c r="AA33" s="80">
        <f ca="1">IF($D33="","",INDEX('Start List'!X$15:X$139,MATCH($D33,'Start List'!$C$15:$C$139,0)))</f>
        <v>22</v>
      </c>
      <c r="AB33" s="80">
        <f ca="1">IF($D33="","",INDEX('Start List'!Y$15:Y$139,MATCH($D33,'Start List'!$C$15:$C$139,0)))</f>
        <v>10</v>
      </c>
    </row>
    <row r="34" spans="1:28" s="83" customFormat="1" ht="12.75" customHeight="1" x14ac:dyDescent="0.2">
      <c r="A34" s="59">
        <f>IF(OR(COUNT('Start List'!A:A)+2='Men-Women'!A33,A33=""),"",'Men-Women'!A33+1)</f>
        <v>26</v>
      </c>
      <c r="B34" s="228" t="str">
        <f>IF(A34="","",IF(COUNTIF($B$9:B33,$B$9)-1=COUNTIF('Start List'!C:C,"&gt;999"),'Start List'!$J$10,'Start List'!$J$9))</f>
        <v>Women</v>
      </c>
      <c r="C34" s="75">
        <f>IF(OR(B34="",COUNTIF($B$9:B34,B34)=1),"",COUNTIF($B$9:B34,B34)-1)</f>
        <v>6</v>
      </c>
      <c r="D34" s="227">
        <f ca="1">IF(""=C34,"",IF(COUNTIF($D$9:D33,"")=2,LARGE('Start List'!C:C,A32),LARGE('Start List'!C:C,A33)))</f>
        <v>799.13148000000001</v>
      </c>
      <c r="E34" s="79" t="str">
        <f>IF(C34="","",VLOOKUP(B34,Data!$AK$2:$AN$7,4,FALSE)&amp;C34)</f>
        <v>W6</v>
      </c>
      <c r="F34" s="80">
        <f ca="1">IF(COUNTIF(Data!$D$2:$D$97,'Men-Women'!$E34)=0,"",VLOOKUP('Men-Women'!$E34,Data!$D$2:$H$97,'Men-Women'!F$8,FALSE))</f>
        <v>30</v>
      </c>
      <c r="G34" s="80">
        <f ca="1">IF(COUNTIF(Data!$D$2:$D$97,'Men-Women'!$E34)=0,"",VLOOKUP('Men-Women'!$E34,Data!$D$2:$H$97,'Men-Women'!G$8,FALSE))</f>
        <v>17</v>
      </c>
      <c r="H34" s="80">
        <f>IF(COUNTIF(Data!$D$2:$D$97,'Men-Women'!$E34)=0,"",VLOOKUP('Men-Women'!$E34,Data!$D$2:$H$97,'Men-Women'!H$8,FALSE))</f>
        <v>12</v>
      </c>
      <c r="I34" s="80">
        <f>IF(COUNTIF(Data!$D$2:$D$97,'Men-Women'!$E34)=0,"",VLOOKUP('Men-Women'!$E34,Data!$D$2:$H$97,'Men-Women'!I$8,FALSE))</f>
        <v>6</v>
      </c>
      <c r="J34" s="77" t="str">
        <f ca="1">IF(B34&lt;&gt;B33,B34,IF($D34="","",INDEX('Start List'!$D$15:$D$139,MATCH($D34,'Start List'!$C$15:$C$139,0))))</f>
        <v>Stela Čuk</v>
      </c>
      <c r="K34" s="77" t="str">
        <f ca="1">IF($D34="","",INDEX('Start List'!$E$15:$E$139,MATCH($D34,'Start List'!$C$15:$C$139,0)))</f>
        <v>CRO</v>
      </c>
      <c r="L34" s="77" t="e">
        <f ca="1">IF($D34="","",INDEX('Start List'!$H$15:$H$139,MATCH($D34,'Start List'!$C$15:$C$139,0)))</f>
        <v>#N/A</v>
      </c>
      <c r="M34" s="79" t="str">
        <f ca="1">IF($D34="","",INDEX('Start List'!$F$15:$F$139,MATCH($D34,'Start List'!$C$15:$C$139,0)))</f>
        <v>C</v>
      </c>
      <c r="N34" s="80">
        <f ca="1">IF($D34="","",INDEX('Start List'!K$15:K$139,MATCH($D34,'Start List'!$C$15:$C$139,0)))</f>
        <v>251</v>
      </c>
      <c r="O34" s="80">
        <f ca="1">IF($D34="","",INDEX('Start List'!L$15:L$139,MATCH($D34,'Start List'!$C$15:$C$139,0)))</f>
        <v>6</v>
      </c>
      <c r="P34" s="80">
        <f ca="1">IF($D34="","",INDEX('Start List'!M$15:M$139,MATCH($D34,'Start List'!$C$15:$C$139,0)))</f>
        <v>1</v>
      </c>
      <c r="Q34" s="80" t="str">
        <f ca="1">IF($D34="","",INDEX('Start List'!N$15:N$139,MATCH($D34,'Start List'!$C$15:$C$139,0)))</f>
        <v/>
      </c>
      <c r="R34" s="80">
        <f ca="1">IF($D34="","",INDEX('Start List'!O$15:O$139,MATCH($D34,'Start List'!$C$15:$C$139,0)))</f>
        <v>270</v>
      </c>
      <c r="S34" s="80">
        <f ca="1">IF($D34="","",INDEX('Start List'!P$15:P$139,MATCH($D34,'Start List'!$C$15:$C$139,0)))</f>
        <v>2</v>
      </c>
      <c r="T34" s="80">
        <f ca="1">IF($D34="","",INDEX('Start List'!Q$15:Q$139,MATCH($D34,'Start List'!$C$15:$C$139,0)))</f>
        <v>5</v>
      </c>
      <c r="U34" s="80" t="str">
        <f ca="1">IF($D34="","",INDEX('Start List'!R$15:R$139,MATCH($D34,'Start List'!$C$15:$C$139,0)))</f>
        <v/>
      </c>
      <c r="V34" s="80">
        <f ca="1">IF($D34="","",INDEX('Start List'!S$15:S$139,MATCH($D34,'Start List'!$C$15:$C$139,0)))</f>
        <v>278</v>
      </c>
      <c r="W34" s="80">
        <f ca="1">IF($D34="","",INDEX('Start List'!T$15:T$139,MATCH($D34,'Start List'!$C$15:$C$139,0)))</f>
        <v>5</v>
      </c>
      <c r="X34" s="80">
        <f ca="1">IF($D34="","",INDEX('Start List'!U$15:U$139,MATCH($D34,'Start List'!$C$15:$C$139,0)))</f>
        <v>9</v>
      </c>
      <c r="Y34" s="80" t="str">
        <f ca="1">IF($D34="","",INDEX('Start List'!V$15:V$139,MATCH($D34,'Start List'!$C$15:$C$139,0)))</f>
        <v/>
      </c>
      <c r="Z34" s="80">
        <f ca="1">IF($D34="","",INDEX('Start List'!W$15:W$139,MATCH($D34,'Start List'!$C$15:$C$139,0)))</f>
        <v>799</v>
      </c>
      <c r="AA34" s="80">
        <f ca="1">IF($D34="","",INDEX('Start List'!X$15:X$139,MATCH($D34,'Start List'!$C$15:$C$139,0)))</f>
        <v>13</v>
      </c>
      <c r="AB34" s="80">
        <f ca="1">IF($D34="","",INDEX('Start List'!Y$15:Y$139,MATCH($D34,'Start List'!$C$15:$C$139,0)))</f>
        <v>15</v>
      </c>
    </row>
    <row r="35" spans="1:28" s="83" customFormat="1" ht="12.75" customHeight="1" x14ac:dyDescent="0.2">
      <c r="A35" s="59">
        <f>IF(OR(COUNT('Start List'!A:A)+2='Men-Women'!A34,A34=""),"",'Men-Women'!A34+1)</f>
        <v>27</v>
      </c>
      <c r="B35" s="228" t="str">
        <f>IF(A35="","",IF(COUNTIF($B$9:B34,$B$9)-1=COUNTIF('Start List'!C:C,"&gt;999"),'Start List'!$J$10,'Start List'!$J$9))</f>
        <v>Women</v>
      </c>
      <c r="C35" s="75">
        <f>IF(OR(B35="",COUNTIF($B$9:B35,B35)=1),"",COUNTIF($B$9:B35,B35)-1)</f>
        <v>7</v>
      </c>
      <c r="D35" s="227">
        <f ca="1">IF(""=C35,"",IF(COUNTIF($D$9:D34,"")=2,LARGE('Start List'!C:C,A33),LARGE('Start List'!C:C,A34)))</f>
        <v>795.18106899999987</v>
      </c>
      <c r="E35" s="79" t="str">
        <f>IF(C35="","",VLOOKUP(B35,Data!$AK$2:$AN$7,4,FALSE)&amp;C35)</f>
        <v>W7</v>
      </c>
      <c r="F35" s="80">
        <f ca="1">IF(COUNTIF(Data!$D$2:$D$97,'Men-Women'!$E35)=0,"",VLOOKUP('Men-Women'!$E35,Data!$D$2:$H$97,'Men-Women'!F$8,FALSE))</f>
        <v>26</v>
      </c>
      <c r="G35" s="80">
        <f ca="1">IF(COUNTIF(Data!$D$2:$D$97,'Men-Women'!$E35)=0,"",VLOOKUP('Men-Women'!$E35,Data!$D$2:$H$97,'Men-Women'!G$8,FALSE))</f>
        <v>15</v>
      </c>
      <c r="H35" s="80">
        <f>IF(COUNTIF(Data!$D$2:$D$97,'Men-Women'!$E35)=0,"",VLOOKUP('Men-Women'!$E35,Data!$D$2:$H$97,'Men-Women'!H$8,FALSE))</f>
        <v>11</v>
      </c>
      <c r="I35" s="80">
        <f>IF(COUNTIF(Data!$D$2:$D$97,'Men-Women'!$E35)=0,"",VLOOKUP('Men-Women'!$E35,Data!$D$2:$H$97,'Men-Women'!I$8,FALSE))</f>
        <v>6</v>
      </c>
      <c r="J35" s="77" t="str">
        <f ca="1">IF(B35&lt;&gt;B34,B35,IF($D35="","",INDEX('Start List'!$D$15:$D$139,MATCH($D35,'Start List'!$C$15:$C$139,0))))</f>
        <v>Nedělníková Jaroslava</v>
      </c>
      <c r="K35" s="77" t="str">
        <f ca="1">IF($D35="","",INDEX('Start List'!$E$15:$E$139,MATCH($D35,'Start List'!$C$15:$C$139,0)))</f>
        <v>CZE - Savana</v>
      </c>
      <c r="L35" s="77" t="e">
        <f ca="1">IF($D35="","",INDEX('Start List'!$H$15:$H$139,MATCH($D35,'Start List'!$C$15:$C$139,0)))</f>
        <v>#N/A</v>
      </c>
      <c r="M35" s="79" t="str">
        <f ca="1">IF($D35="","",INDEX('Start List'!$F$15:$F$139,MATCH($D35,'Start List'!$C$15:$C$139,0)))</f>
        <v>SW</v>
      </c>
      <c r="N35" s="80">
        <f ca="1">IF($D35="","",INDEX('Start List'!K$15:K$139,MATCH($D35,'Start List'!$C$15:$C$139,0)))</f>
        <v>250</v>
      </c>
      <c r="O35" s="80">
        <f ca="1">IF($D35="","",INDEX('Start List'!L$15:L$139,MATCH($D35,'Start List'!$C$15:$C$139,0)))</f>
        <v>4</v>
      </c>
      <c r="P35" s="80">
        <f ca="1">IF($D35="","",INDEX('Start List'!M$15:M$139,MATCH($D35,'Start List'!$C$15:$C$139,0)))</f>
        <v>2</v>
      </c>
      <c r="Q35" s="80" t="str">
        <f ca="1">IF($D35="","",INDEX('Start List'!N$15:N$139,MATCH($D35,'Start List'!$C$15:$C$139,0)))</f>
        <v/>
      </c>
      <c r="R35" s="80">
        <f ca="1">IF($D35="","",INDEX('Start List'!O$15:O$139,MATCH($D35,'Start List'!$C$15:$C$139,0)))</f>
        <v>262</v>
      </c>
      <c r="S35" s="80">
        <f ca="1">IF($D35="","",INDEX('Start List'!P$15:P$139,MATCH($D35,'Start List'!$C$15:$C$139,0)))</f>
        <v>5</v>
      </c>
      <c r="T35" s="80">
        <f ca="1">IF($D35="","",INDEX('Start List'!Q$15:Q$139,MATCH($D35,'Start List'!$C$15:$C$139,0)))</f>
        <v>1</v>
      </c>
      <c r="U35" s="80" t="str">
        <f ca="1">IF($D35="","",INDEX('Start List'!R$15:R$139,MATCH($D35,'Start List'!$C$15:$C$139,0)))</f>
        <v/>
      </c>
      <c r="V35" s="80">
        <f ca="1">IF($D35="","",INDEX('Start List'!S$15:S$139,MATCH($D35,'Start List'!$C$15:$C$139,0)))</f>
        <v>283</v>
      </c>
      <c r="W35" s="80">
        <f ca="1">IF($D35="","",INDEX('Start List'!T$15:T$139,MATCH($D35,'Start List'!$C$15:$C$139,0)))</f>
        <v>9</v>
      </c>
      <c r="X35" s="80">
        <f ca="1">IF($D35="","",INDEX('Start List'!U$15:U$139,MATCH($D35,'Start List'!$C$15:$C$139,0)))</f>
        <v>8</v>
      </c>
      <c r="Y35" s="80" t="str">
        <f ca="1">IF($D35="","",INDEX('Start List'!V$15:V$139,MATCH($D35,'Start List'!$C$15:$C$139,0)))</f>
        <v/>
      </c>
      <c r="Z35" s="80">
        <f ca="1">IF($D35="","",INDEX('Start List'!W$15:W$139,MATCH($D35,'Start List'!$C$15:$C$139,0)))</f>
        <v>795</v>
      </c>
      <c r="AA35" s="80">
        <f ca="1">IF($D35="","",INDEX('Start List'!X$15:X$139,MATCH($D35,'Start List'!$C$15:$C$139,0)))</f>
        <v>18</v>
      </c>
      <c r="AB35" s="80">
        <f ca="1">IF($D35="","",INDEX('Start List'!Y$15:Y$139,MATCH($D35,'Start List'!$C$15:$C$139,0)))</f>
        <v>11</v>
      </c>
    </row>
    <row r="36" spans="1:28" s="83" customFormat="1" ht="12.75" customHeight="1" collapsed="1" x14ac:dyDescent="0.2">
      <c r="A36" s="59">
        <f>IF(OR(COUNT('Start List'!A:A)+2='Men-Women'!A35,A35=""),"",'Men-Women'!A35+1)</f>
        <v>28</v>
      </c>
      <c r="B36" s="228" t="str">
        <f>IF(A36="","",IF(COUNTIF($B$9:B35,$B$9)-1=COUNTIF('Start List'!C:C,"&gt;999"),'Start List'!$J$10,'Start List'!$J$9))</f>
        <v>Women</v>
      </c>
      <c r="C36" s="75">
        <f>IF(OR(B36="",COUNTIF($B$9:B36,B36)=1),"",COUNTIF($B$9:B36,B36)-1)</f>
        <v>8</v>
      </c>
      <c r="D36" s="227">
        <f ca="1">IF(""=C36,"",IF(COUNTIF($D$9:D35,"")=2,LARGE('Start List'!C:C,A34),LARGE('Start List'!C:C,A35)))</f>
        <v>793.15108999999995</v>
      </c>
      <c r="E36" s="79" t="str">
        <f>IF(C36="","",VLOOKUP(B36,Data!$AK$2:$AN$7,4,FALSE)&amp;C36)</f>
        <v>W8</v>
      </c>
      <c r="F36" s="80">
        <f ca="1">IF(COUNTIF(Data!$D$2:$D$97,'Men-Women'!$E36)=0,"",VLOOKUP('Men-Women'!$E36,Data!$D$2:$H$97,'Men-Women'!F$8,FALSE))</f>
        <v>19</v>
      </c>
      <c r="G36" s="80">
        <f ca="1">IF(COUNTIF(Data!$D$2:$D$97,'Men-Women'!$E36)=0,"",VLOOKUP('Men-Women'!$E36,Data!$D$2:$H$97,'Men-Women'!G$8,FALSE))</f>
        <v>11</v>
      </c>
      <c r="H36" s="80">
        <f>IF(COUNTIF(Data!$D$2:$D$97,'Men-Women'!$E36)=0,"",VLOOKUP('Men-Women'!$E36,Data!$D$2:$H$97,'Men-Women'!H$8,FALSE))</f>
        <v>8</v>
      </c>
      <c r="I36" s="80">
        <f>IF(COUNTIF(Data!$D$2:$D$97,'Men-Women'!$E36)=0,"",VLOOKUP('Men-Women'!$E36,Data!$D$2:$H$97,'Men-Women'!I$8,FALSE))</f>
        <v>5</v>
      </c>
      <c r="J36" s="77" t="str">
        <f ca="1">IF(B36&lt;&gt;B35,B36,IF($D36="","",INDEX('Start List'!$D$15:$D$139,MATCH($D36,'Start List'!$C$15:$C$139,0))))</f>
        <v>Bihariné Gábriel Emese</v>
      </c>
      <c r="K36" s="77" t="str">
        <f ca="1">IF($D36="","",INDEX('Start List'!$E$15:$E$139,MATCH($D36,'Start List'!$C$15:$C$139,0)))</f>
        <v>HUN - Hungarian Shooting Federation</v>
      </c>
      <c r="L36" s="77" t="e">
        <f ca="1">IF($D36="","",INDEX('Start List'!$H$15:$H$139,MATCH($D36,'Start List'!$C$15:$C$139,0)))</f>
        <v>#N/A</v>
      </c>
      <c r="M36" s="79" t="str">
        <f ca="1">IF($D36="","",INDEX('Start List'!$F$15:$F$139,MATCH($D36,'Start List'!$C$15:$C$139,0)))</f>
        <v>W</v>
      </c>
      <c r="N36" s="80">
        <f ca="1">IF($D36="","",INDEX('Start List'!K$15:K$139,MATCH($D36,'Start List'!$C$15:$C$139,0)))</f>
        <v>243</v>
      </c>
      <c r="O36" s="80">
        <f ca="1">IF($D36="","",INDEX('Start List'!L$15:L$139,MATCH($D36,'Start List'!$C$15:$C$139,0)))</f>
        <v>3</v>
      </c>
      <c r="P36" s="80">
        <f ca="1">IF($D36="","",INDEX('Start List'!M$15:M$139,MATCH($D36,'Start List'!$C$15:$C$139,0)))</f>
        <v>2</v>
      </c>
      <c r="Q36" s="80" t="str">
        <f ca="1">IF($D36="","",INDEX('Start List'!N$15:N$139,MATCH($D36,'Start List'!$C$15:$C$139,0)))</f>
        <v/>
      </c>
      <c r="R36" s="80">
        <f ca="1">IF($D36="","",INDEX('Start List'!O$15:O$139,MATCH($D36,'Start List'!$C$15:$C$139,0)))</f>
        <v>278</v>
      </c>
      <c r="S36" s="80">
        <f ca="1">IF($D36="","",INDEX('Start List'!P$15:P$139,MATCH($D36,'Start List'!$C$15:$C$139,0)))</f>
        <v>6</v>
      </c>
      <c r="T36" s="80">
        <f ca="1">IF($D36="","",INDEX('Start List'!Q$15:Q$139,MATCH($D36,'Start List'!$C$15:$C$139,0)))</f>
        <v>6</v>
      </c>
      <c r="U36" s="80" t="str">
        <f ca="1">IF($D36="","",INDEX('Start List'!R$15:R$139,MATCH($D36,'Start List'!$C$15:$C$139,0)))</f>
        <v/>
      </c>
      <c r="V36" s="80">
        <f ca="1">IF($D36="","",INDEX('Start List'!S$15:S$139,MATCH($D36,'Start List'!$C$15:$C$139,0)))</f>
        <v>272</v>
      </c>
      <c r="W36" s="80">
        <f ca="1">IF($D36="","",INDEX('Start List'!T$15:T$139,MATCH($D36,'Start List'!$C$15:$C$139,0)))</f>
        <v>6</v>
      </c>
      <c r="X36" s="80">
        <f ca="1">IF($D36="","",INDEX('Start List'!U$15:U$139,MATCH($D36,'Start List'!$C$15:$C$139,0)))</f>
        <v>3</v>
      </c>
      <c r="Y36" s="80" t="str">
        <f ca="1">IF($D36="","",INDEX('Start List'!V$15:V$139,MATCH($D36,'Start List'!$C$15:$C$139,0)))</f>
        <v/>
      </c>
      <c r="Z36" s="80">
        <f ca="1">IF($D36="","",INDEX('Start List'!W$15:W$139,MATCH($D36,'Start List'!$C$15:$C$139,0)))</f>
        <v>793</v>
      </c>
      <c r="AA36" s="80">
        <f ca="1">IF($D36="","",INDEX('Start List'!X$15:X$139,MATCH($D36,'Start List'!$C$15:$C$139,0)))</f>
        <v>15</v>
      </c>
      <c r="AB36" s="80">
        <f ca="1">IF($D36="","",INDEX('Start List'!Y$15:Y$139,MATCH($D36,'Start List'!$C$15:$C$139,0)))</f>
        <v>11</v>
      </c>
    </row>
    <row r="37" spans="1:28" ht="12.75" customHeight="1" x14ac:dyDescent="0.2">
      <c r="A37" s="59">
        <f>IF(OR(COUNT('Start List'!A:A)+2='Men-Women'!A36,A36=""),"",'Men-Women'!A36+1)</f>
        <v>29</v>
      </c>
      <c r="B37" s="228" t="str">
        <f>IF(A37="","",IF(COUNTIF($B$9:B36,$B$9)-1=COUNTIF('Start List'!C:C,"&gt;999"),'Start List'!$J$10,'Start List'!$J$9))</f>
        <v>Women</v>
      </c>
      <c r="C37" s="75">
        <f>IF(OR(B37="",COUNTIF($B$9:B37,B37)=1),"",COUNTIF($B$9:B37,B37)-1)</f>
        <v>9</v>
      </c>
      <c r="D37" s="227">
        <f ca="1">IF(""=C37,"",IF(COUNTIF($D$9:D36,"")=2,LARGE('Start List'!C:C,A35),LARGE('Start List'!C:C,A36)))</f>
        <v>785.15079500000002</v>
      </c>
      <c r="E37" s="79" t="str">
        <f>IF(C37="","",VLOOKUP(B37,Data!$AK$2:$AN$7,4,FALSE)&amp;C37)</f>
        <v>W9</v>
      </c>
      <c r="F37" s="80">
        <f ca="1">IF(COUNTIF(Data!$D$2:$D$97,'Men-Women'!$E37)=0,"",VLOOKUP('Men-Women'!$E37,Data!$D$2:$H$97,'Men-Women'!F$8,FALSE))</f>
        <v>20</v>
      </c>
      <c r="G37" s="80">
        <f ca="1">IF(COUNTIF(Data!$D$2:$D$97,'Men-Women'!$E37)=0,"",VLOOKUP('Men-Women'!$E37,Data!$D$2:$H$97,'Men-Women'!G$8,FALSE))</f>
        <v>11</v>
      </c>
      <c r="H37" s="80">
        <f>IF(COUNTIF(Data!$D$2:$D$97,'Men-Women'!$E37)=0,"",VLOOKUP('Men-Women'!$E37,Data!$D$2:$H$97,'Men-Women'!H$8,FALSE))</f>
        <v>8</v>
      </c>
      <c r="I37" s="80">
        <f>IF(COUNTIF(Data!$D$2:$D$97,'Men-Women'!$E37)=0,"",VLOOKUP('Men-Women'!$E37,Data!$D$2:$H$97,'Men-Women'!I$8,FALSE))</f>
        <v>5</v>
      </c>
      <c r="J37" s="77" t="str">
        <f ca="1">IF(B37&lt;&gt;B36,B37,IF($D37="","",INDEX('Start List'!$D$15:$D$139,MATCH($D37,'Start List'!$C$15:$C$139,0))))</f>
        <v>Kubesová Sabina</v>
      </c>
      <c r="K37" s="77" t="str">
        <f ca="1">IF($D37="","",INDEX('Start List'!$E$15:$E$139,MATCH($D37,'Start List'!$C$15:$C$139,0)))</f>
        <v>CZE - Suché Lazce</v>
      </c>
      <c r="L37" s="77" t="e">
        <f ca="1">IF($D37="","",INDEX('Start List'!$H$15:$H$139,MATCH($D37,'Start List'!$C$15:$C$139,0)))</f>
        <v>#N/A</v>
      </c>
      <c r="M37" s="79" t="str">
        <f ca="1">IF($D37="","",INDEX('Start List'!$F$15:$F$139,MATCH($D37,'Start List'!$C$15:$C$139,0)))</f>
        <v>W</v>
      </c>
      <c r="N37" s="80">
        <f ca="1">IF($D37="","",INDEX('Start List'!K$15:K$139,MATCH($D37,'Start List'!$C$15:$C$139,0)))</f>
        <v>247</v>
      </c>
      <c r="O37" s="80">
        <f ca="1">IF($D37="","",INDEX('Start List'!L$15:L$139,MATCH($D37,'Start List'!$C$15:$C$139,0)))</f>
        <v>2</v>
      </c>
      <c r="P37" s="80">
        <f ca="1">IF($D37="","",INDEX('Start List'!M$15:M$139,MATCH($D37,'Start List'!$C$15:$C$139,0)))</f>
        <v>2</v>
      </c>
      <c r="Q37" s="80" t="str">
        <f ca="1">IF($D37="","",INDEX('Start List'!N$15:N$139,MATCH($D37,'Start List'!$C$15:$C$139,0)))</f>
        <v/>
      </c>
      <c r="R37" s="80">
        <f ca="1">IF($D37="","",INDEX('Start List'!O$15:O$139,MATCH($D37,'Start List'!$C$15:$C$139,0)))</f>
        <v>267</v>
      </c>
      <c r="S37" s="80">
        <f ca="1">IF($D37="","",INDEX('Start List'!P$15:P$139,MATCH($D37,'Start List'!$C$15:$C$139,0)))</f>
        <v>5</v>
      </c>
      <c r="T37" s="80">
        <f ca="1">IF($D37="","",INDEX('Start List'!Q$15:Q$139,MATCH($D37,'Start List'!$C$15:$C$139,0)))</f>
        <v>1</v>
      </c>
      <c r="U37" s="80" t="str">
        <f ca="1">IF($D37="","",INDEX('Start List'!R$15:R$139,MATCH($D37,'Start List'!$C$15:$C$139,0)))</f>
        <v/>
      </c>
      <c r="V37" s="80">
        <f ca="1">IF($D37="","",INDEX('Start List'!S$15:S$139,MATCH($D37,'Start List'!$C$15:$C$139,0)))</f>
        <v>271</v>
      </c>
      <c r="W37" s="80">
        <f ca="1">IF($D37="","",INDEX('Start List'!T$15:T$139,MATCH($D37,'Start List'!$C$15:$C$139,0)))</f>
        <v>8</v>
      </c>
      <c r="X37" s="80">
        <f ca="1">IF($D37="","",INDEX('Start List'!U$15:U$139,MATCH($D37,'Start List'!$C$15:$C$139,0)))</f>
        <v>5</v>
      </c>
      <c r="Y37" s="80" t="str">
        <f ca="1">IF($D37="","",INDEX('Start List'!V$15:V$139,MATCH($D37,'Start List'!$C$15:$C$139,0)))</f>
        <v/>
      </c>
      <c r="Z37" s="80">
        <f ca="1">IF($D37="","",INDEX('Start List'!W$15:W$139,MATCH($D37,'Start List'!$C$15:$C$139,0)))</f>
        <v>785</v>
      </c>
      <c r="AA37" s="80">
        <f ca="1">IF($D37="","",INDEX('Start List'!X$15:X$139,MATCH($D37,'Start List'!$C$15:$C$139,0)))</f>
        <v>15</v>
      </c>
      <c r="AB37" s="80">
        <f ca="1">IF($D37="","",INDEX('Start List'!Y$15:Y$139,MATCH($D37,'Start List'!$C$15:$C$139,0)))</f>
        <v>8</v>
      </c>
    </row>
    <row r="38" spans="1:28" ht="12.75" customHeight="1" x14ac:dyDescent="0.2">
      <c r="A38" s="59">
        <f>IF(OR(COUNT('Start List'!A:A)+2='Men-Women'!A37,A37=""),"",'Men-Women'!A37+1)</f>
        <v>30</v>
      </c>
      <c r="B38" s="228" t="str">
        <f>IF(A38="","",IF(COUNTIF($B$9:B37,$B$9)-1=COUNTIF('Start List'!C:C,"&gt;999"),'Start List'!$J$10,'Start List'!$J$9))</f>
        <v>Women</v>
      </c>
      <c r="C38" s="75">
        <f>IF(OR(B38="",COUNTIF($B$9:B38,B38)=1),"",COUNTIF($B$9:B38,B38)-1)</f>
        <v>10</v>
      </c>
      <c r="D38" s="227">
        <f ca="1">IF(""=C38,"",IF(COUNTIF($D$9:D37,"")=2,LARGE('Start List'!C:C,A36),LARGE('Start List'!C:C,A37)))</f>
        <v>782.17099099999996</v>
      </c>
      <c r="E38" s="79" t="str">
        <f>IF(C38="","",VLOOKUP(B38,Data!$AK$2:$AN$7,4,FALSE)&amp;C38)</f>
        <v>W10</v>
      </c>
      <c r="F38" s="80">
        <f ca="1">IF(COUNTIF(Data!$D$2:$D$97,'Men-Women'!$E38)=0,"",VLOOKUP('Men-Women'!$E38,Data!$D$2:$H$97,'Men-Women'!F$8,FALSE))</f>
        <v>27</v>
      </c>
      <c r="G38" s="80">
        <f ca="1">IF(COUNTIF(Data!$D$2:$D$97,'Men-Women'!$E38)=0,"",VLOOKUP('Men-Women'!$E38,Data!$D$2:$H$97,'Men-Women'!G$8,FALSE))</f>
        <v>15</v>
      </c>
      <c r="H38" s="80">
        <f>IF(COUNTIF(Data!$D$2:$D$97,'Men-Women'!$E38)=0,"",VLOOKUP('Men-Women'!$E38,Data!$D$2:$H$97,'Men-Women'!H$8,FALSE))</f>
        <v>11</v>
      </c>
      <c r="I38" s="80">
        <f>IF(COUNTIF(Data!$D$2:$D$97,'Men-Women'!$E38)=0,"",VLOOKUP('Men-Women'!$E38,Data!$D$2:$H$97,'Men-Women'!I$8,FALSE))</f>
        <v>6</v>
      </c>
      <c r="J38" s="77" t="str">
        <f ca="1">IF(B38&lt;&gt;B37,B38,IF($D38="","",INDEX('Start List'!$D$15:$D$139,MATCH($D38,'Start List'!$C$15:$C$139,0))))</f>
        <v>Hynková Karolína</v>
      </c>
      <c r="K38" s="77" t="str">
        <f ca="1">IF($D38="","",INDEX('Start List'!$E$15:$E$139,MATCH($D38,'Start List'!$C$15:$C$139,0)))</f>
        <v>CZE - Savana</v>
      </c>
      <c r="L38" s="77" t="e">
        <f ca="1">IF($D38="","",INDEX('Start List'!$H$15:$H$139,MATCH($D38,'Start List'!$C$15:$C$139,0)))</f>
        <v>#N/A</v>
      </c>
      <c r="M38" s="79" t="str">
        <f ca="1">IF($D38="","",INDEX('Start List'!$F$15:$F$139,MATCH($D38,'Start List'!$C$15:$C$139,0)))</f>
        <v>W</v>
      </c>
      <c r="N38" s="80">
        <f ca="1">IF($D38="","",INDEX('Start List'!K$15:K$139,MATCH($D38,'Start List'!$C$15:$C$139,0)))</f>
        <v>246</v>
      </c>
      <c r="O38" s="80">
        <f ca="1">IF($D38="","",INDEX('Start List'!L$15:L$139,MATCH($D38,'Start List'!$C$15:$C$139,0)))</f>
        <v>6</v>
      </c>
      <c r="P38" s="80">
        <f ca="1">IF($D38="","",INDEX('Start List'!M$15:M$139,MATCH($D38,'Start List'!$C$15:$C$139,0)))</f>
        <v>1</v>
      </c>
      <c r="Q38" s="80" t="str">
        <f ca="1">IF($D38="","",INDEX('Start List'!N$15:N$139,MATCH($D38,'Start List'!$C$15:$C$139,0)))</f>
        <v/>
      </c>
      <c r="R38" s="80">
        <f ca="1">IF($D38="","",INDEX('Start List'!O$15:O$139,MATCH($D38,'Start List'!$C$15:$C$139,0)))</f>
        <v>267</v>
      </c>
      <c r="S38" s="80">
        <f ca="1">IF($D38="","",INDEX('Start List'!P$15:P$139,MATCH($D38,'Start List'!$C$15:$C$139,0)))</f>
        <v>6</v>
      </c>
      <c r="T38" s="80">
        <f ca="1">IF($D38="","",INDEX('Start List'!Q$15:Q$139,MATCH($D38,'Start List'!$C$15:$C$139,0)))</f>
        <v>3</v>
      </c>
      <c r="U38" s="80" t="str">
        <f ca="1">IF($D38="","",INDEX('Start List'!R$15:R$139,MATCH($D38,'Start List'!$C$15:$C$139,0)))</f>
        <v/>
      </c>
      <c r="V38" s="80">
        <f ca="1">IF($D38="","",INDEX('Start List'!S$15:S$139,MATCH($D38,'Start List'!$C$15:$C$139,0)))</f>
        <v>269</v>
      </c>
      <c r="W38" s="80">
        <f ca="1">IF($D38="","",INDEX('Start List'!T$15:T$139,MATCH($D38,'Start List'!$C$15:$C$139,0)))</f>
        <v>5</v>
      </c>
      <c r="X38" s="80">
        <f ca="1">IF($D38="","",INDEX('Start List'!U$15:U$139,MATCH($D38,'Start List'!$C$15:$C$139,0)))</f>
        <v>6</v>
      </c>
      <c r="Y38" s="80" t="str">
        <f ca="1">IF($D38="","",INDEX('Start List'!V$15:V$139,MATCH($D38,'Start List'!$C$15:$C$139,0)))</f>
        <v/>
      </c>
      <c r="Z38" s="80">
        <f ca="1">IF($D38="","",INDEX('Start List'!W$15:W$139,MATCH($D38,'Start List'!$C$15:$C$139,0)))</f>
        <v>782</v>
      </c>
      <c r="AA38" s="80">
        <f ca="1">IF($D38="","",INDEX('Start List'!X$15:X$139,MATCH($D38,'Start List'!$C$15:$C$139,0)))</f>
        <v>17</v>
      </c>
      <c r="AB38" s="80">
        <f ca="1">IF($D38="","",INDEX('Start List'!Y$15:Y$139,MATCH($D38,'Start List'!$C$15:$C$139,0)))</f>
        <v>10</v>
      </c>
    </row>
    <row r="39" spans="1:28" ht="12.75" customHeight="1" x14ac:dyDescent="0.2">
      <c r="A39" s="59">
        <f>IF(OR(COUNT('Start List'!A:A)+2='Men-Women'!A38,A38=""),"",'Men-Women'!A38+1)</f>
        <v>31</v>
      </c>
      <c r="B39" s="228" t="str">
        <f>IF(A39="","",IF(COUNTIF($B$9:B38,$B$9)-1=COUNTIF('Start List'!C:C,"&gt;999"),'Start List'!$J$10,'Start List'!$J$9))</f>
        <v>Women</v>
      </c>
      <c r="C39" s="75">
        <f>IF(OR(B39="",COUNTIF($B$9:B39,B39)=1),"",COUNTIF($B$9:B39,B39)-1)</f>
        <v>11</v>
      </c>
      <c r="D39" s="227">
        <f ca="1">IF(""=C39,"",IF(COUNTIF($D$9:D38,"")=2,LARGE('Start List'!C:C,A37),LARGE('Start List'!C:C,A38)))</f>
        <v>780.12157000000002</v>
      </c>
      <c r="E39" s="79" t="str">
        <f>IF(C39="","",VLOOKUP(B39,Data!$AK$2:$AN$7,4,FALSE)&amp;C39)</f>
        <v>W11</v>
      </c>
      <c r="F39" s="80">
        <f ca="1">IF(COUNTIF(Data!$D$2:$D$97,'Men-Women'!$E39)=0,"",VLOOKUP('Men-Women'!$E39,Data!$D$2:$H$97,'Men-Women'!F$8,FALSE))</f>
        <v>31</v>
      </c>
      <c r="G39" s="80">
        <f ca="1">IF(COUNTIF(Data!$D$2:$D$97,'Men-Women'!$E39)=0,"",VLOOKUP('Men-Women'!$E39,Data!$D$2:$H$97,'Men-Women'!G$8,FALSE))</f>
        <v>17</v>
      </c>
      <c r="H39" s="80">
        <f>IF(COUNTIF(Data!$D$2:$D$97,'Men-Women'!$E39)=0,"",VLOOKUP('Men-Women'!$E39,Data!$D$2:$H$97,'Men-Women'!H$8,FALSE))</f>
        <v>12</v>
      </c>
      <c r="I39" s="80">
        <f>IF(COUNTIF(Data!$D$2:$D$97,'Men-Women'!$E39)=0,"",VLOOKUP('Men-Women'!$E39,Data!$D$2:$H$97,'Men-Women'!I$8,FALSE))</f>
        <v>6</v>
      </c>
      <c r="J39" s="77" t="str">
        <f ca="1">IF(B39&lt;&gt;B38,B39,IF($D39="","",INDEX('Start List'!$D$15:$D$139,MATCH($D39,'Start List'!$C$15:$C$139,0))))</f>
        <v>Dr. Lénárt Ágota</v>
      </c>
      <c r="K39" s="77" t="str">
        <f ca="1">IF($D39="","",INDEX('Start List'!$E$15:$E$139,MATCH($D39,'Start List'!$C$15:$C$139,0)))</f>
        <v>HUN - Hungarian Shooting Federation</v>
      </c>
      <c r="L39" s="77" t="e">
        <f ca="1">IF($D39="","",INDEX('Start List'!$H$15:$H$139,MATCH($D39,'Start List'!$C$15:$C$139,0)))</f>
        <v>#N/A</v>
      </c>
      <c r="M39" s="79" t="str">
        <f ca="1">IF($D39="","",INDEX('Start List'!$F$15:$F$139,MATCH($D39,'Start List'!$C$15:$C$139,0)))</f>
        <v>SW</v>
      </c>
      <c r="N39" s="80">
        <f ca="1">IF($D39="","",INDEX('Start List'!K$15:K$139,MATCH($D39,'Start List'!$C$15:$C$139,0)))</f>
        <v>234</v>
      </c>
      <c r="O39" s="80">
        <f ca="1">IF($D39="","",INDEX('Start List'!L$15:L$139,MATCH($D39,'Start List'!$C$15:$C$139,0)))</f>
        <v>2</v>
      </c>
      <c r="P39" s="80">
        <f ca="1">IF($D39="","",INDEX('Start List'!M$15:M$139,MATCH($D39,'Start List'!$C$15:$C$139,0)))</f>
        <v>2</v>
      </c>
      <c r="Q39" s="80" t="str">
        <f ca="1">IF($D39="","",INDEX('Start List'!N$15:N$139,MATCH($D39,'Start List'!$C$15:$C$139,0)))</f>
        <v/>
      </c>
      <c r="R39" s="80">
        <f ca="1">IF($D39="","",INDEX('Start List'!O$15:O$139,MATCH($D39,'Start List'!$C$15:$C$139,0)))</f>
        <v>270</v>
      </c>
      <c r="S39" s="80">
        <f ca="1">IF($D39="","",INDEX('Start List'!P$15:P$139,MATCH($D39,'Start List'!$C$15:$C$139,0)))</f>
        <v>6</v>
      </c>
      <c r="T39" s="80">
        <f ca="1">IF($D39="","",INDEX('Start List'!Q$15:Q$139,MATCH($D39,'Start List'!$C$15:$C$139,0)))</f>
        <v>5</v>
      </c>
      <c r="U39" s="80" t="str">
        <f ca="1">IF($D39="","",INDEX('Start List'!R$15:R$139,MATCH($D39,'Start List'!$C$15:$C$139,0)))</f>
        <v/>
      </c>
      <c r="V39" s="80">
        <f ca="1">IF($D39="","",INDEX('Start List'!S$15:S$139,MATCH($D39,'Start List'!$C$15:$C$139,0)))</f>
        <v>276</v>
      </c>
      <c r="W39" s="80">
        <f ca="1">IF($D39="","",INDEX('Start List'!T$15:T$139,MATCH($D39,'Start List'!$C$15:$C$139,0)))</f>
        <v>4</v>
      </c>
      <c r="X39" s="80">
        <f ca="1">IF($D39="","",INDEX('Start List'!U$15:U$139,MATCH($D39,'Start List'!$C$15:$C$139,0)))</f>
        <v>9</v>
      </c>
      <c r="Y39" s="80" t="str">
        <f ca="1">IF($D39="","",INDEX('Start List'!V$15:V$139,MATCH($D39,'Start List'!$C$15:$C$139,0)))</f>
        <v/>
      </c>
      <c r="Z39" s="80">
        <f ca="1">IF($D39="","",INDEX('Start List'!W$15:W$139,MATCH($D39,'Start List'!$C$15:$C$139,0)))</f>
        <v>780</v>
      </c>
      <c r="AA39" s="80">
        <f ca="1">IF($D39="","",INDEX('Start List'!X$15:X$139,MATCH($D39,'Start List'!$C$15:$C$139,0)))</f>
        <v>12</v>
      </c>
      <c r="AB39" s="80">
        <f ca="1">IF($D39="","",INDEX('Start List'!Y$15:Y$139,MATCH($D39,'Start List'!$C$15:$C$139,0)))</f>
        <v>16</v>
      </c>
    </row>
    <row r="40" spans="1:28" s="78" customFormat="1" ht="12.75" customHeight="1" x14ac:dyDescent="0.2">
      <c r="A40" s="59">
        <f>IF(OR(COUNT('Start List'!A:A)+2='Men-Women'!A39,A39=""),"",'Men-Women'!A39+1)</f>
        <v>32</v>
      </c>
      <c r="B40" s="228" t="str">
        <f>IF(A40="","",IF(COUNTIF($B$9:B39,$B$9)-1=COUNTIF('Start List'!C:C,"&gt;999"),'Start List'!$J$10,'Start List'!$J$9))</f>
        <v>Women</v>
      </c>
      <c r="C40" s="75">
        <f>IF(OR(B40="",COUNTIF($B$9:B40,B40)=1),"",COUNTIF($B$9:B40,B40)-1)</f>
        <v>12</v>
      </c>
      <c r="D40" s="227">
        <f ca="1">IF(""=C40,"",IF(COUNTIF($D$9:D39,"")=2,LARGE('Start List'!C:C,A38),LARGE('Start List'!C:C,A39)))</f>
        <v>776.11099300000001</v>
      </c>
      <c r="E40" s="79" t="str">
        <f>IF(C40="","",VLOOKUP(B40,Data!$AK$2:$AN$7,4,FALSE)&amp;C40)</f>
        <v>W12</v>
      </c>
      <c r="F40" s="80">
        <f ca="1">IF(COUNTIF(Data!$D$2:$D$97,'Men-Women'!$E40)=0,"",VLOOKUP('Men-Women'!$E40,Data!$D$2:$H$97,'Men-Women'!F$8,FALSE))</f>
        <v>24</v>
      </c>
      <c r="G40" s="80">
        <f ca="1">IF(COUNTIF(Data!$D$2:$D$97,'Men-Women'!$E40)=0,"",VLOOKUP('Men-Women'!$E40,Data!$D$2:$H$97,'Men-Women'!G$8,FALSE))</f>
        <v>13</v>
      </c>
      <c r="H40" s="80">
        <f>IF(COUNTIF(Data!$D$2:$D$97,'Men-Women'!$E40)=0,"",VLOOKUP('Men-Women'!$E40,Data!$D$2:$H$97,'Men-Women'!H$8,FALSE))</f>
        <v>9</v>
      </c>
      <c r="I40" s="80">
        <f>IF(COUNTIF(Data!$D$2:$D$97,'Men-Women'!$E40)=0,"",VLOOKUP('Men-Women'!$E40,Data!$D$2:$H$97,'Men-Women'!I$8,FALSE))</f>
        <v>5</v>
      </c>
      <c r="J40" s="77" t="str">
        <f ca="1">IF(B40&lt;&gt;B39,B40,IF($D40="","",INDEX('Start List'!$D$15:$D$139,MATCH($D40,'Start List'!$C$15:$C$139,0))))</f>
        <v>Hynková Irena</v>
      </c>
      <c r="K40" s="77" t="str">
        <f ca="1">IF($D40="","",INDEX('Start List'!$E$15:$E$139,MATCH($D40,'Start List'!$C$15:$C$139,0)))</f>
        <v>CZE - Savana</v>
      </c>
      <c r="L40" s="77" t="e">
        <f ca="1">IF($D40="","",INDEX('Start List'!$H$15:$H$139,MATCH($D40,'Start List'!$C$15:$C$139,0)))</f>
        <v>#N/A</v>
      </c>
      <c r="M40" s="79" t="str">
        <f ca="1">IF($D40="","",INDEX('Start List'!$F$15:$F$139,MATCH($D40,'Start List'!$C$15:$C$139,0)))</f>
        <v>W</v>
      </c>
      <c r="N40" s="80">
        <f ca="1">IF($D40="","",INDEX('Start List'!K$15:K$139,MATCH($D40,'Start List'!$C$15:$C$139,0)))</f>
        <v>250</v>
      </c>
      <c r="O40" s="80">
        <f ca="1">IF($D40="","",INDEX('Start List'!L$15:L$139,MATCH($D40,'Start List'!$C$15:$C$139,0)))</f>
        <v>3</v>
      </c>
      <c r="P40" s="80">
        <f ca="1">IF($D40="","",INDEX('Start List'!M$15:M$139,MATCH($D40,'Start List'!$C$15:$C$139,0)))</f>
        <v>3</v>
      </c>
      <c r="Q40" s="80" t="str">
        <f ca="1">IF($D40="","",INDEX('Start List'!N$15:N$139,MATCH($D40,'Start List'!$C$15:$C$139,0)))</f>
        <v/>
      </c>
      <c r="R40" s="80">
        <f ca="1">IF($D40="","",INDEX('Start List'!O$15:O$139,MATCH($D40,'Start List'!$C$15:$C$139,0)))</f>
        <v>254</v>
      </c>
      <c r="S40" s="80">
        <f ca="1">IF($D40="","",INDEX('Start List'!P$15:P$139,MATCH($D40,'Start List'!$C$15:$C$139,0)))</f>
        <v>2</v>
      </c>
      <c r="T40" s="80">
        <f ca="1">IF($D40="","",INDEX('Start List'!Q$15:Q$139,MATCH($D40,'Start List'!$C$15:$C$139,0)))</f>
        <v>1</v>
      </c>
      <c r="U40" s="80" t="str">
        <f ca="1">IF($D40="","",INDEX('Start List'!R$15:R$139,MATCH($D40,'Start List'!$C$15:$C$139,0)))</f>
        <v/>
      </c>
      <c r="V40" s="80">
        <f ca="1">IF($D40="","",INDEX('Start List'!S$15:S$139,MATCH($D40,'Start List'!$C$15:$C$139,0)))</f>
        <v>272</v>
      </c>
      <c r="W40" s="80">
        <f ca="1">IF($D40="","",INDEX('Start List'!T$15:T$139,MATCH($D40,'Start List'!$C$15:$C$139,0)))</f>
        <v>6</v>
      </c>
      <c r="X40" s="80">
        <f ca="1">IF($D40="","",INDEX('Start List'!U$15:U$139,MATCH($D40,'Start List'!$C$15:$C$139,0)))</f>
        <v>6</v>
      </c>
      <c r="Y40" s="80" t="str">
        <f ca="1">IF($D40="","",INDEX('Start List'!V$15:V$139,MATCH($D40,'Start List'!$C$15:$C$139,0)))</f>
        <v/>
      </c>
      <c r="Z40" s="80">
        <f ca="1">IF($D40="","",INDEX('Start List'!W$15:W$139,MATCH($D40,'Start List'!$C$15:$C$139,0)))</f>
        <v>776</v>
      </c>
      <c r="AA40" s="80">
        <f ca="1">IF($D40="","",INDEX('Start List'!X$15:X$139,MATCH($D40,'Start List'!$C$15:$C$139,0)))</f>
        <v>11</v>
      </c>
      <c r="AB40" s="80">
        <f ca="1">IF($D40="","",INDEX('Start List'!Y$15:Y$139,MATCH($D40,'Start List'!$C$15:$C$139,0)))</f>
        <v>10</v>
      </c>
    </row>
    <row r="41" spans="1:28" ht="12.75" customHeight="1" x14ac:dyDescent="0.2">
      <c r="A41" s="59">
        <f>IF(OR(COUNT('Start List'!A:A)+2='Men-Women'!A40,A40=""),"",'Men-Women'!A40+1)</f>
        <v>33</v>
      </c>
      <c r="B41" s="228" t="str">
        <f>IF(A41="","",IF(COUNTIF($B$9:B40,$B$9)-1=COUNTIF('Start List'!C:C,"&gt;999"),'Start List'!$J$10,'Start List'!$J$9))</f>
        <v>Women</v>
      </c>
      <c r="C41" s="75">
        <f>IF(OR(B41="",COUNTIF($B$9:B41,B41)=1),"",COUNTIF($B$9:B41,B41)-1)</f>
        <v>13</v>
      </c>
      <c r="D41" s="227">
        <f ca="1">IF(""=C41,"",IF(COUNTIF($D$9:D40,"")=2,LARGE('Start List'!C:C,A39),LARGE('Start List'!C:C,A40)))</f>
        <v>759.11086799999998</v>
      </c>
      <c r="E41" s="79" t="str">
        <f>IF(C41="","",VLOOKUP(B41,Data!$AK$2:$AN$7,4,FALSE)&amp;C41)</f>
        <v>W13</v>
      </c>
      <c r="F41" s="80">
        <f ca="1">IF(COUNTIF(Data!$D$2:$D$97,'Men-Women'!$E41)=0,"",VLOOKUP('Men-Women'!$E41,Data!$D$2:$H$97,'Men-Women'!F$8,FALSE))</f>
        <v>22</v>
      </c>
      <c r="G41" s="80">
        <f ca="1">IF(COUNTIF(Data!$D$2:$D$97,'Men-Women'!$E41)=0,"",VLOOKUP('Men-Women'!$E41,Data!$D$2:$H$97,'Men-Women'!G$8,FALSE))</f>
        <v>12</v>
      </c>
      <c r="H41" s="80">
        <f>IF(COUNTIF(Data!$D$2:$D$97,'Men-Women'!$E41)=0,"",VLOOKUP('Men-Women'!$E41,Data!$D$2:$H$97,'Men-Women'!H$8,FALSE))</f>
        <v>9</v>
      </c>
      <c r="I41" s="80">
        <f>IF(COUNTIF(Data!$D$2:$D$97,'Men-Women'!$E41)=0,"",VLOOKUP('Men-Women'!$E41,Data!$D$2:$H$97,'Men-Women'!I$8,FALSE))</f>
        <v>5</v>
      </c>
      <c r="J41" s="77" t="str">
        <f ca="1">IF(B41&lt;&gt;B40,B41,IF($D41="","",INDEX('Start List'!$D$15:$D$139,MATCH($D41,'Start List'!$C$15:$C$139,0))))</f>
        <v>Kocsis Mária</v>
      </c>
      <c r="K41" s="77" t="str">
        <f ca="1">IF($D41="","",INDEX('Start List'!$E$15:$E$139,MATCH($D41,'Start List'!$C$15:$C$139,0)))</f>
        <v>HUN - Hungarian Shooting Federation</v>
      </c>
      <c r="L41" s="77" t="e">
        <f ca="1">IF($D41="","",INDEX('Start List'!$H$15:$H$139,MATCH($D41,'Start List'!$C$15:$C$139,0)))</f>
        <v>#N/A</v>
      </c>
      <c r="M41" s="79" t="str">
        <f ca="1">IF($D41="","",INDEX('Start List'!$F$15:$F$139,MATCH($D41,'Start List'!$C$15:$C$139,0)))</f>
        <v>SW</v>
      </c>
      <c r="N41" s="80">
        <f ca="1">IF($D41="","",INDEX('Start List'!K$15:K$139,MATCH($D41,'Start List'!$C$15:$C$139,0)))</f>
        <v>248</v>
      </c>
      <c r="O41" s="80">
        <f ca="1">IF($D41="","",INDEX('Start List'!L$15:L$139,MATCH($D41,'Start List'!$C$15:$C$139,0)))</f>
        <v>3</v>
      </c>
      <c r="P41" s="80">
        <f ca="1">IF($D41="","",INDEX('Start List'!M$15:M$139,MATCH($D41,'Start List'!$C$15:$C$139,0)))</f>
        <v>3</v>
      </c>
      <c r="Q41" s="80" t="str">
        <f ca="1">IF($D41="","",INDEX('Start List'!N$15:N$139,MATCH($D41,'Start List'!$C$15:$C$139,0)))</f>
        <v/>
      </c>
      <c r="R41" s="80">
        <f ca="1">IF($D41="","",INDEX('Start List'!O$15:O$139,MATCH($D41,'Start List'!$C$15:$C$139,0)))</f>
        <v>253</v>
      </c>
      <c r="S41" s="80">
        <f ca="1">IF($D41="","",INDEX('Start List'!P$15:P$139,MATCH($D41,'Start List'!$C$15:$C$139,0)))</f>
        <v>4</v>
      </c>
      <c r="T41" s="80">
        <f ca="1">IF($D41="","",INDEX('Start List'!Q$15:Q$139,MATCH($D41,'Start List'!$C$15:$C$139,0)))</f>
        <v>1</v>
      </c>
      <c r="U41" s="80" t="str">
        <f ca="1">IF($D41="","",INDEX('Start List'!R$15:R$139,MATCH($D41,'Start List'!$C$15:$C$139,0)))</f>
        <v/>
      </c>
      <c r="V41" s="80">
        <f ca="1">IF($D41="","",INDEX('Start List'!S$15:S$139,MATCH($D41,'Start List'!$C$15:$C$139,0)))</f>
        <v>258</v>
      </c>
      <c r="W41" s="80">
        <f ca="1">IF($D41="","",INDEX('Start List'!T$15:T$139,MATCH($D41,'Start List'!$C$15:$C$139,0)))</f>
        <v>4</v>
      </c>
      <c r="X41" s="80">
        <f ca="1">IF($D41="","",INDEX('Start List'!U$15:U$139,MATCH($D41,'Start List'!$C$15:$C$139,0)))</f>
        <v>5</v>
      </c>
      <c r="Y41" s="80" t="str">
        <f ca="1">IF($D41="","",INDEX('Start List'!V$15:V$139,MATCH($D41,'Start List'!$C$15:$C$139,0)))</f>
        <v/>
      </c>
      <c r="Z41" s="80">
        <f ca="1">IF($D41="","",INDEX('Start List'!W$15:W$139,MATCH($D41,'Start List'!$C$15:$C$139,0)))</f>
        <v>759</v>
      </c>
      <c r="AA41" s="80">
        <f ca="1">IF($D41="","",INDEX('Start List'!X$15:X$139,MATCH($D41,'Start List'!$C$15:$C$139,0)))</f>
        <v>11</v>
      </c>
      <c r="AB41" s="80">
        <f ca="1">IF($D41="","",INDEX('Start List'!Y$15:Y$139,MATCH($D41,'Start List'!$C$15:$C$139,0)))</f>
        <v>9</v>
      </c>
    </row>
    <row r="42" spans="1:28" ht="12.75" customHeight="1" x14ac:dyDescent="0.2">
      <c r="A42" s="59">
        <f>IF(OR(COUNT('Start List'!A:A)+2='Men-Women'!A41,A41=""),"",'Men-Women'!A41+1)</f>
        <v>34</v>
      </c>
      <c r="B42" s="228" t="str">
        <f>IF(A42="","",IF(COUNTIF($B$9:B41,$B$9)-1=COUNTIF('Start List'!C:C,"&gt;999"),'Start List'!$J$10,'Start List'!$J$9))</f>
        <v>Women</v>
      </c>
      <c r="C42" s="75">
        <f>IF(OR(B42="",COUNTIF($B$9:B42,B42)=1),"",COUNTIF($B$9:B42,B42)-1)</f>
        <v>14</v>
      </c>
      <c r="D42" s="227">
        <f ca="1">IF(""=C42,"",IF(COUNTIF($D$9:D41,"")=2,LARGE('Start List'!C:C,A40),LARGE('Start List'!C:C,A41)))</f>
        <v>751.06107899999995</v>
      </c>
      <c r="E42" s="79" t="str">
        <f>IF(C42="","",VLOOKUP(B42,Data!$AK$2:$AN$7,4,FALSE)&amp;C42)</f>
        <v>W14</v>
      </c>
      <c r="F42" s="80">
        <f ca="1">IF(COUNTIF(Data!$D$2:$D$97,'Men-Women'!$E42)=0,"",VLOOKUP('Men-Women'!$E42,Data!$D$2:$H$97,'Men-Women'!F$8,FALSE))</f>
        <v>29</v>
      </c>
      <c r="G42" s="80">
        <f ca="1">IF(COUNTIF(Data!$D$2:$D$97,'Men-Women'!$E42)=0,"",VLOOKUP('Men-Women'!$E42,Data!$D$2:$H$97,'Men-Women'!G$8,FALSE))</f>
        <v>16</v>
      </c>
      <c r="H42" s="80">
        <f>IF(COUNTIF(Data!$D$2:$D$97,'Men-Women'!$E42)=0,"",VLOOKUP('Men-Women'!$E42,Data!$D$2:$H$97,'Men-Women'!H$8,FALSE))</f>
        <v>12</v>
      </c>
      <c r="I42" s="80">
        <f>IF(COUNTIF(Data!$D$2:$D$97,'Men-Women'!$E42)=0,"",VLOOKUP('Men-Women'!$E42,Data!$D$2:$H$97,'Men-Women'!I$8,FALSE))</f>
        <v>6</v>
      </c>
      <c r="J42" s="77" t="str">
        <f ca="1">IF(B42&lt;&gt;B41,B42,IF($D42="","",INDEX('Start List'!$D$15:$D$139,MATCH($D42,'Start List'!$C$15:$C$139,0))))</f>
        <v>Penezić Ema</v>
      </c>
      <c r="K42" s="77" t="str">
        <f ca="1">IF($D42="","",INDEX('Start List'!$E$15:$E$139,MATCH($D42,'Start List'!$C$15:$C$139,0)))</f>
        <v>CRO - Predionica</v>
      </c>
      <c r="L42" s="77" t="e">
        <f ca="1">IF($D42="","",INDEX('Start List'!$H$15:$H$139,MATCH($D42,'Start List'!$C$15:$C$139,0)))</f>
        <v>#N/A</v>
      </c>
      <c r="M42" s="79" t="str">
        <f ca="1">IF($D42="","",INDEX('Start List'!$F$15:$F$139,MATCH($D42,'Start List'!$C$15:$C$139,0)))</f>
        <v>C</v>
      </c>
      <c r="N42" s="80">
        <f ca="1">IF($D42="","",INDEX('Start List'!K$15:K$139,MATCH($D42,'Start List'!$C$15:$C$139,0)))</f>
        <v>232</v>
      </c>
      <c r="O42" s="80">
        <f ca="1">IF($D42="","",INDEX('Start List'!L$15:L$139,MATCH($D42,'Start List'!$C$15:$C$139,0)))</f>
        <v>1</v>
      </c>
      <c r="P42" s="80">
        <f ca="1">IF($D42="","",INDEX('Start List'!M$15:M$139,MATCH($D42,'Start List'!$C$15:$C$139,0)))</f>
        <v>1</v>
      </c>
      <c r="Q42" s="80" t="str">
        <f ca="1">IF($D42="","",INDEX('Start List'!N$15:N$139,MATCH($D42,'Start List'!$C$15:$C$139,0)))</f>
        <v/>
      </c>
      <c r="R42" s="80">
        <f ca="1">IF($D42="","",INDEX('Start List'!O$15:O$139,MATCH($D42,'Start List'!$C$15:$C$139,0)))</f>
        <v>262</v>
      </c>
      <c r="S42" s="80">
        <f ca="1">IF($D42="","",INDEX('Start List'!P$15:P$139,MATCH($D42,'Start List'!$C$15:$C$139,0)))</f>
        <v>2</v>
      </c>
      <c r="T42" s="80">
        <f ca="1">IF($D42="","",INDEX('Start List'!Q$15:Q$139,MATCH($D42,'Start List'!$C$15:$C$139,0)))</f>
        <v>6</v>
      </c>
      <c r="U42" s="80" t="str">
        <f ca="1">IF($D42="","",INDEX('Start List'!R$15:R$139,MATCH($D42,'Start List'!$C$15:$C$139,0)))</f>
        <v/>
      </c>
      <c r="V42" s="80">
        <f ca="1">IF($D42="","",INDEX('Start List'!S$15:S$139,MATCH($D42,'Start List'!$C$15:$C$139,0)))</f>
        <v>257</v>
      </c>
      <c r="W42" s="80">
        <f ca="1">IF($D42="","",INDEX('Start List'!T$15:T$139,MATCH($D42,'Start List'!$C$15:$C$139,0)))</f>
        <v>3</v>
      </c>
      <c r="X42" s="80">
        <f ca="1">IF($D42="","",INDEX('Start List'!U$15:U$139,MATCH($D42,'Start List'!$C$15:$C$139,0)))</f>
        <v>4</v>
      </c>
      <c r="Y42" s="80" t="str">
        <f ca="1">IF($D42="","",INDEX('Start List'!V$15:V$139,MATCH($D42,'Start List'!$C$15:$C$139,0)))</f>
        <v/>
      </c>
      <c r="Z42" s="80">
        <f ca="1">IF($D42="","",INDEX('Start List'!W$15:W$139,MATCH($D42,'Start List'!$C$15:$C$139,0)))</f>
        <v>751</v>
      </c>
      <c r="AA42" s="80">
        <f ca="1">IF($D42="","",INDEX('Start List'!X$15:X$139,MATCH($D42,'Start List'!$C$15:$C$139,0)))</f>
        <v>6</v>
      </c>
      <c r="AB42" s="80">
        <f ca="1">IF($D42="","",INDEX('Start List'!Y$15:Y$139,MATCH($D42,'Start List'!$C$15:$C$139,0)))</f>
        <v>11</v>
      </c>
    </row>
    <row r="43" spans="1:28" ht="12.75" customHeight="1" x14ac:dyDescent="0.2">
      <c r="A43" s="59" t="str">
        <f>IF(OR(COUNT('Start List'!A:A)+2='Men-Women'!A42,A42=""),"",'Men-Women'!A42+1)</f>
        <v/>
      </c>
      <c r="B43" s="228" t="str">
        <f>IF(A43="","",IF(COUNTIF($B$9:B42,$B$9)-1=COUNTIF('Start List'!C:C,"&gt;999"),'Start List'!$J$10,'Start List'!$J$9))</f>
        <v/>
      </c>
      <c r="C43" s="75" t="str">
        <f>IF(OR(B43="",COUNTIF($B$9:B43,B43)=1),"",COUNTIF($B$9:B43,B43)-1)</f>
        <v/>
      </c>
      <c r="D43" s="227" t="str">
        <f>IF(""=C43,"",IF(COUNTIF($D$9:D42,"")=2,LARGE('Start List'!C:C,A41),LARGE('Start List'!C:C,A42)))</f>
        <v/>
      </c>
      <c r="E43" s="79" t="str">
        <f>IF(C43="","",VLOOKUP(B43,Data!$AK$2:$AN$7,4,FALSE)&amp;C43)</f>
        <v/>
      </c>
      <c r="F43" s="80" t="str">
        <f>IF(COUNTIF(Data!$D$2:$D$97,'Men-Women'!$E43)=0,"",VLOOKUP('Men-Women'!$E43,Data!$D$2:$H$97,'Men-Women'!F$8,FALSE))</f>
        <v/>
      </c>
      <c r="G43" s="80" t="str">
        <f>IF(COUNTIF(Data!$D$2:$D$97,'Men-Women'!$E43)=0,"",VLOOKUP('Men-Women'!$E43,Data!$D$2:$H$97,'Men-Women'!G$8,FALSE))</f>
        <v/>
      </c>
      <c r="H43" s="80" t="str">
        <f>IF(COUNTIF(Data!$D$2:$D$97,'Men-Women'!$E43)=0,"",VLOOKUP('Men-Women'!$E43,Data!$D$2:$H$97,'Men-Women'!H$8,FALSE))</f>
        <v/>
      </c>
      <c r="I43" s="80" t="str">
        <f>IF(COUNTIF(Data!$D$2:$D$97,'Men-Women'!$E43)=0,"",VLOOKUP('Men-Women'!$E43,Data!$D$2:$H$97,'Men-Women'!I$8,FALSE))</f>
        <v/>
      </c>
      <c r="J43" s="77" t="str">
        <f>IF(B43&lt;&gt;B42,B43,IF($D43="","",INDEX('Start List'!$D$15:$D$139,MATCH($D43,'Start List'!$C$15:$C$139,0))))</f>
        <v/>
      </c>
      <c r="K43" s="77" t="str">
        <f>IF($D43="","",INDEX('Start List'!$E$15:$E$139,MATCH($D43,'Start List'!$C$15:$C$139,0)))</f>
        <v/>
      </c>
      <c r="L43" s="77" t="str">
        <f>IF($D43="","",INDEX('Start List'!$H$15:$H$139,MATCH($D43,'Start List'!$C$15:$C$139,0)))</f>
        <v/>
      </c>
      <c r="M43" s="79" t="str">
        <f>IF($D43="","",INDEX('Start List'!$F$15:$F$139,MATCH($D43,'Start List'!$C$15:$C$139,0)))</f>
        <v/>
      </c>
      <c r="N43" s="80" t="str">
        <f>IF($D43="","",INDEX('Start List'!K$15:K$139,MATCH($D43,'Start List'!$C$15:$C$139,0)))</f>
        <v/>
      </c>
      <c r="O43" s="80" t="str">
        <f>IF($D43="","",INDEX('Start List'!L$15:L$139,MATCH($D43,'Start List'!$C$15:$C$139,0)))</f>
        <v/>
      </c>
      <c r="P43" s="80" t="str">
        <f>IF($D43="","",INDEX('Start List'!M$15:M$139,MATCH($D43,'Start List'!$C$15:$C$139,0)))</f>
        <v/>
      </c>
      <c r="Q43" s="80" t="str">
        <f>IF($D43="","",INDEX('Start List'!N$15:N$139,MATCH($D43,'Start List'!$C$15:$C$139,0)))</f>
        <v/>
      </c>
      <c r="R43" s="80" t="str">
        <f>IF($D43="","",INDEX('Start List'!O$15:O$139,MATCH($D43,'Start List'!$C$15:$C$139,0)))</f>
        <v/>
      </c>
      <c r="S43" s="80" t="str">
        <f>IF($D43="","",INDEX('Start List'!P$15:P$139,MATCH($D43,'Start List'!$C$15:$C$139,0)))</f>
        <v/>
      </c>
      <c r="T43" s="80" t="str">
        <f>IF($D43="","",INDEX('Start List'!Q$15:Q$139,MATCH($D43,'Start List'!$C$15:$C$139,0)))</f>
        <v/>
      </c>
      <c r="U43" s="80" t="str">
        <f>IF($D43="","",INDEX('Start List'!R$15:R$139,MATCH($D43,'Start List'!$C$15:$C$139,0)))</f>
        <v/>
      </c>
      <c r="V43" s="80" t="str">
        <f>IF($D43="","",INDEX('Start List'!S$15:S$139,MATCH($D43,'Start List'!$C$15:$C$139,0)))</f>
        <v/>
      </c>
      <c r="W43" s="80" t="str">
        <f>IF($D43="","",INDEX('Start List'!T$15:T$139,MATCH($D43,'Start List'!$C$15:$C$139,0)))</f>
        <v/>
      </c>
      <c r="X43" s="80" t="str">
        <f>IF($D43="","",INDEX('Start List'!U$15:U$139,MATCH($D43,'Start List'!$C$15:$C$139,0)))</f>
        <v/>
      </c>
      <c r="Y43" s="80" t="str">
        <f>IF($D43="","",INDEX('Start List'!V$15:V$139,MATCH($D43,'Start List'!$C$15:$C$139,0)))</f>
        <v/>
      </c>
      <c r="Z43" s="80" t="str">
        <f>IF($D43="","",INDEX('Start List'!W$15:W$139,MATCH($D43,'Start List'!$C$15:$C$139,0)))</f>
        <v/>
      </c>
      <c r="AA43" s="80" t="str">
        <f>IF($D43="","",INDEX('Start List'!X$15:X$139,MATCH($D43,'Start List'!$C$15:$C$139,0)))</f>
        <v/>
      </c>
      <c r="AB43" s="80" t="str">
        <f>IF($D43="","",INDEX('Start List'!Y$15:Y$139,MATCH($D43,'Start List'!$C$15:$C$139,0)))</f>
        <v/>
      </c>
    </row>
    <row r="44" spans="1:28" ht="12.75" customHeight="1" x14ac:dyDescent="0.2">
      <c r="A44" s="59" t="str">
        <f>IF(OR(COUNT('Start List'!A:A)+2='Men-Women'!A43,A43=""),"",'Men-Women'!A43+1)</f>
        <v/>
      </c>
      <c r="B44" s="228" t="str">
        <f>IF(A44="","",IF(COUNTIF($B$9:B43,$B$9)-1=COUNTIF('Start List'!C:C,"&gt;999"),'Start List'!$J$10,'Start List'!$J$9))</f>
        <v/>
      </c>
      <c r="C44" s="75" t="str">
        <f>IF(OR(B44="",COUNTIF($B$9:B44,B44)=1),"",COUNTIF($B$9:B44,B44)-1)</f>
        <v/>
      </c>
      <c r="D44" s="227" t="str">
        <f>IF(""=C44,"",IF(COUNTIF($D$9:D43,"")=2,LARGE('Start List'!C:C,A42),LARGE('Start List'!C:C,A43)))</f>
        <v/>
      </c>
      <c r="E44" s="79" t="str">
        <f>IF(C44="","",VLOOKUP(B44,Data!$AK$2:$AN$7,4,FALSE)&amp;C44)</f>
        <v/>
      </c>
      <c r="F44" s="80" t="str">
        <f>IF(COUNTIF(Data!$D$2:$D$97,'Men-Women'!$E44)=0,"",VLOOKUP('Men-Women'!$E44,Data!$D$2:$H$97,'Men-Women'!F$8,FALSE))</f>
        <v/>
      </c>
      <c r="G44" s="80" t="str">
        <f>IF(COUNTIF(Data!$D$2:$D$97,'Men-Women'!$E44)=0,"",VLOOKUP('Men-Women'!$E44,Data!$D$2:$H$97,'Men-Women'!G$8,FALSE))</f>
        <v/>
      </c>
      <c r="H44" s="80" t="str">
        <f>IF(COUNTIF(Data!$D$2:$D$97,'Men-Women'!$E44)=0,"",VLOOKUP('Men-Women'!$E44,Data!$D$2:$H$97,'Men-Women'!H$8,FALSE))</f>
        <v/>
      </c>
      <c r="I44" s="80" t="str">
        <f>IF(COUNTIF(Data!$D$2:$D$97,'Men-Women'!$E44)=0,"",VLOOKUP('Men-Women'!$E44,Data!$D$2:$H$97,'Men-Women'!I$8,FALSE))</f>
        <v/>
      </c>
      <c r="J44" s="77" t="str">
        <f>IF(B44&lt;&gt;B43,B44,IF($D44="","",INDEX('Start List'!$D$15:$D$139,MATCH($D44,'Start List'!$C$15:$C$139,0))))</f>
        <v/>
      </c>
      <c r="K44" s="77" t="str">
        <f>IF($D44="","",INDEX('Start List'!$E$15:$E$139,MATCH($D44,'Start List'!$C$15:$C$139,0)))</f>
        <v/>
      </c>
      <c r="L44" s="77" t="str">
        <f>IF($D44="","",INDEX('Start List'!$H$15:$H$139,MATCH($D44,'Start List'!$C$15:$C$139,0)))</f>
        <v/>
      </c>
      <c r="M44" s="79" t="str">
        <f>IF($D44="","",INDEX('Start List'!$F$15:$F$139,MATCH($D44,'Start List'!$C$15:$C$139,0)))</f>
        <v/>
      </c>
      <c r="N44" s="80" t="str">
        <f>IF($D44="","",INDEX('Start List'!K$15:K$139,MATCH($D44,'Start List'!$C$15:$C$139,0)))</f>
        <v/>
      </c>
      <c r="O44" s="80" t="str">
        <f>IF($D44="","",INDEX('Start List'!L$15:L$139,MATCH($D44,'Start List'!$C$15:$C$139,0)))</f>
        <v/>
      </c>
      <c r="P44" s="80" t="str">
        <f>IF($D44="","",INDEX('Start List'!M$15:M$139,MATCH($D44,'Start List'!$C$15:$C$139,0)))</f>
        <v/>
      </c>
      <c r="Q44" s="80" t="str">
        <f>IF($D44="","",INDEX('Start List'!N$15:N$139,MATCH($D44,'Start List'!$C$15:$C$139,0)))</f>
        <v/>
      </c>
      <c r="R44" s="80" t="str">
        <f>IF($D44="","",INDEX('Start List'!O$15:O$139,MATCH($D44,'Start List'!$C$15:$C$139,0)))</f>
        <v/>
      </c>
      <c r="S44" s="80" t="str">
        <f>IF($D44="","",INDEX('Start List'!P$15:P$139,MATCH($D44,'Start List'!$C$15:$C$139,0)))</f>
        <v/>
      </c>
      <c r="T44" s="80" t="str">
        <f>IF($D44="","",INDEX('Start List'!Q$15:Q$139,MATCH($D44,'Start List'!$C$15:$C$139,0)))</f>
        <v/>
      </c>
      <c r="U44" s="80" t="str">
        <f>IF($D44="","",INDEX('Start List'!R$15:R$139,MATCH($D44,'Start List'!$C$15:$C$139,0)))</f>
        <v/>
      </c>
      <c r="V44" s="80" t="str">
        <f>IF($D44="","",INDEX('Start List'!S$15:S$139,MATCH($D44,'Start List'!$C$15:$C$139,0)))</f>
        <v/>
      </c>
      <c r="W44" s="80" t="str">
        <f>IF($D44="","",INDEX('Start List'!T$15:T$139,MATCH($D44,'Start List'!$C$15:$C$139,0)))</f>
        <v/>
      </c>
      <c r="X44" s="80" t="str">
        <f>IF($D44="","",INDEX('Start List'!U$15:U$139,MATCH($D44,'Start List'!$C$15:$C$139,0)))</f>
        <v/>
      </c>
      <c r="Y44" s="80" t="str">
        <f>IF($D44="","",INDEX('Start List'!V$15:V$139,MATCH($D44,'Start List'!$C$15:$C$139,0)))</f>
        <v/>
      </c>
      <c r="Z44" s="80" t="str">
        <f>IF($D44="","",INDEX('Start List'!W$15:W$139,MATCH($D44,'Start List'!$C$15:$C$139,0)))</f>
        <v/>
      </c>
      <c r="AA44" s="80" t="str">
        <f>IF($D44="","",INDEX('Start List'!X$15:X$139,MATCH($D44,'Start List'!$C$15:$C$139,0)))</f>
        <v/>
      </c>
      <c r="AB44" s="80" t="str">
        <f>IF($D44="","",INDEX('Start List'!Y$15:Y$139,MATCH($D44,'Start List'!$C$15:$C$139,0)))</f>
        <v/>
      </c>
    </row>
    <row r="45" spans="1:28" ht="12.75" customHeight="1" x14ac:dyDescent="0.2">
      <c r="A45" s="59" t="str">
        <f>IF(OR(COUNT('Start List'!A:A)+2='Men-Women'!A44,A44=""),"",'Men-Women'!A44+1)</f>
        <v/>
      </c>
      <c r="B45" s="228" t="str">
        <f>IF(A45="","",IF(COUNTIF($B$9:B44,$B$9)-1=COUNTIF('Start List'!C:C,"&gt;999"),'Start List'!$J$10,'Start List'!$J$9))</f>
        <v/>
      </c>
      <c r="C45" s="75" t="str">
        <f>IF(OR(B45="",COUNTIF($B$9:B45,B45)=1),"",COUNTIF($B$9:B45,B45)-1)</f>
        <v/>
      </c>
      <c r="D45" s="227" t="str">
        <f>IF(""=C45,"",IF(COUNTIF($D$9:D44,"")=2,LARGE('Start List'!C:C,A43),LARGE('Start List'!C:C,A44)))</f>
        <v/>
      </c>
      <c r="E45" s="79" t="str">
        <f>IF(C45="","",VLOOKUP(B45,Data!$AK$2:$AN$7,4,FALSE)&amp;C45)</f>
        <v/>
      </c>
      <c r="F45" s="80" t="str">
        <f>IF(COUNTIF(Data!$D$2:$D$97,'Men-Women'!$E45)=0,"",VLOOKUP('Men-Women'!$E45,Data!$D$2:$H$97,'Men-Women'!F$8,FALSE))</f>
        <v/>
      </c>
      <c r="G45" s="80" t="str">
        <f>IF(COUNTIF(Data!$D$2:$D$97,'Men-Women'!$E45)=0,"",VLOOKUP('Men-Women'!$E45,Data!$D$2:$H$97,'Men-Women'!G$8,FALSE))</f>
        <v/>
      </c>
      <c r="H45" s="80" t="str">
        <f>IF(COUNTIF(Data!$D$2:$D$97,'Men-Women'!$E45)=0,"",VLOOKUP('Men-Women'!$E45,Data!$D$2:$H$97,'Men-Women'!H$8,FALSE))</f>
        <v/>
      </c>
      <c r="I45" s="80" t="str">
        <f>IF(COUNTIF(Data!$D$2:$D$97,'Men-Women'!$E45)=0,"",VLOOKUP('Men-Women'!$E45,Data!$D$2:$H$97,'Men-Women'!I$8,FALSE))</f>
        <v/>
      </c>
      <c r="J45" s="77" t="str">
        <f>IF(B45&lt;&gt;B44,B45,IF($D45="","",INDEX('Start List'!$D$15:$D$139,MATCH($D45,'Start List'!$C$15:$C$139,0))))</f>
        <v/>
      </c>
      <c r="K45" s="77" t="str">
        <f>IF($D45="","",INDEX('Start List'!$E$15:$E$139,MATCH($D45,'Start List'!$C$15:$C$139,0)))</f>
        <v/>
      </c>
      <c r="L45" s="77" t="str">
        <f>IF($D45="","",INDEX('Start List'!$H$15:$H$139,MATCH($D45,'Start List'!$C$15:$C$139,0)))</f>
        <v/>
      </c>
      <c r="M45" s="79" t="str">
        <f>IF($D45="","",INDEX('Start List'!$F$15:$F$139,MATCH($D45,'Start List'!$C$15:$C$139,0)))</f>
        <v/>
      </c>
      <c r="N45" s="80" t="str">
        <f>IF($D45="","",INDEX('Start List'!K$15:K$139,MATCH($D45,'Start List'!$C$15:$C$139,0)))</f>
        <v/>
      </c>
      <c r="O45" s="80" t="str">
        <f>IF($D45="","",INDEX('Start List'!L$15:L$139,MATCH($D45,'Start List'!$C$15:$C$139,0)))</f>
        <v/>
      </c>
      <c r="P45" s="80" t="str">
        <f>IF($D45="","",INDEX('Start List'!M$15:M$139,MATCH($D45,'Start List'!$C$15:$C$139,0)))</f>
        <v/>
      </c>
      <c r="Q45" s="80" t="str">
        <f>IF($D45="","",INDEX('Start List'!N$15:N$139,MATCH($D45,'Start List'!$C$15:$C$139,0)))</f>
        <v/>
      </c>
      <c r="R45" s="80" t="str">
        <f>IF($D45="","",INDEX('Start List'!O$15:O$139,MATCH($D45,'Start List'!$C$15:$C$139,0)))</f>
        <v/>
      </c>
      <c r="S45" s="80" t="str">
        <f>IF($D45="","",INDEX('Start List'!P$15:P$139,MATCH($D45,'Start List'!$C$15:$C$139,0)))</f>
        <v/>
      </c>
      <c r="T45" s="80" t="str">
        <f>IF($D45="","",INDEX('Start List'!Q$15:Q$139,MATCH($D45,'Start List'!$C$15:$C$139,0)))</f>
        <v/>
      </c>
      <c r="U45" s="80" t="str">
        <f>IF($D45="","",INDEX('Start List'!R$15:R$139,MATCH($D45,'Start List'!$C$15:$C$139,0)))</f>
        <v/>
      </c>
      <c r="V45" s="80" t="str">
        <f>IF($D45="","",INDEX('Start List'!S$15:S$139,MATCH($D45,'Start List'!$C$15:$C$139,0)))</f>
        <v/>
      </c>
      <c r="W45" s="80" t="str">
        <f>IF($D45="","",INDEX('Start List'!T$15:T$139,MATCH($D45,'Start List'!$C$15:$C$139,0)))</f>
        <v/>
      </c>
      <c r="X45" s="80" t="str">
        <f>IF($D45="","",INDEX('Start List'!U$15:U$139,MATCH($D45,'Start List'!$C$15:$C$139,0)))</f>
        <v/>
      </c>
      <c r="Y45" s="80" t="str">
        <f>IF($D45="","",INDEX('Start List'!V$15:V$139,MATCH($D45,'Start List'!$C$15:$C$139,0)))</f>
        <v/>
      </c>
      <c r="Z45" s="80" t="str">
        <f>IF($D45="","",INDEX('Start List'!W$15:W$139,MATCH($D45,'Start List'!$C$15:$C$139,0)))</f>
        <v/>
      </c>
      <c r="AA45" s="80" t="str">
        <f>IF($D45="","",INDEX('Start List'!X$15:X$139,MATCH($D45,'Start List'!$C$15:$C$139,0)))</f>
        <v/>
      </c>
      <c r="AB45" s="80" t="str">
        <f>IF($D45="","",INDEX('Start List'!Y$15:Y$139,MATCH($D45,'Start List'!$C$15:$C$139,0)))</f>
        <v/>
      </c>
    </row>
    <row r="46" spans="1:28" ht="12.75" customHeight="1" x14ac:dyDescent="0.2">
      <c r="A46" s="59" t="str">
        <f>IF(OR(COUNT('Start List'!A:A)+2='Men-Women'!A45,A45=""),"",'Men-Women'!A45+1)</f>
        <v/>
      </c>
      <c r="B46" s="228" t="str">
        <f>IF(A46="","",IF(COUNTIF($B$9:B45,$B$9)-1=COUNTIF('Start List'!C:C,"&gt;999"),'Start List'!$J$10,'Start List'!$J$9))</f>
        <v/>
      </c>
      <c r="C46" s="75" t="str">
        <f>IF(OR(B46="",COUNTIF($B$9:B46,B46)=1),"",COUNTIF($B$9:B46,B46)-1)</f>
        <v/>
      </c>
      <c r="D46" s="227" t="str">
        <f>IF(""=C46,"",IF(COUNTIF($D$9:D45,"")=2,LARGE('Start List'!C:C,A44),LARGE('Start List'!C:C,A45)))</f>
        <v/>
      </c>
      <c r="E46" s="79" t="str">
        <f>IF(C46="","",VLOOKUP(B46,Data!$AK$2:$AN$7,4,FALSE)&amp;C46)</f>
        <v/>
      </c>
      <c r="F46" s="80" t="str">
        <f>IF(COUNTIF(Data!$D$2:$D$97,'Men-Women'!$E46)=0,"",VLOOKUP('Men-Women'!$E46,Data!$D$2:$H$97,'Men-Women'!F$8,FALSE))</f>
        <v/>
      </c>
      <c r="G46" s="80" t="str">
        <f>IF(COUNTIF(Data!$D$2:$D$97,'Men-Women'!$E46)=0,"",VLOOKUP('Men-Women'!$E46,Data!$D$2:$H$97,'Men-Women'!G$8,FALSE))</f>
        <v/>
      </c>
      <c r="H46" s="80" t="str">
        <f>IF(COUNTIF(Data!$D$2:$D$97,'Men-Women'!$E46)=0,"",VLOOKUP('Men-Women'!$E46,Data!$D$2:$H$97,'Men-Women'!H$8,FALSE))</f>
        <v/>
      </c>
      <c r="I46" s="80" t="str">
        <f>IF(COUNTIF(Data!$D$2:$D$97,'Men-Women'!$E46)=0,"",VLOOKUP('Men-Women'!$E46,Data!$D$2:$H$97,'Men-Women'!I$8,FALSE))</f>
        <v/>
      </c>
      <c r="J46" s="77" t="str">
        <f>IF(B46&lt;&gt;B45,B46,IF($D46="","",INDEX('Start List'!$D$15:$D$139,MATCH($D46,'Start List'!$C$15:$C$139,0))))</f>
        <v/>
      </c>
      <c r="K46" s="77" t="str">
        <f>IF($D46="","",INDEX('Start List'!$E$15:$E$139,MATCH($D46,'Start List'!$C$15:$C$139,0)))</f>
        <v/>
      </c>
      <c r="L46" s="77" t="str">
        <f>IF($D46="","",INDEX('Start List'!$H$15:$H$139,MATCH($D46,'Start List'!$C$15:$C$139,0)))</f>
        <v/>
      </c>
      <c r="M46" s="79" t="str">
        <f>IF($D46="","",INDEX('Start List'!$F$15:$F$139,MATCH($D46,'Start List'!$C$15:$C$139,0)))</f>
        <v/>
      </c>
      <c r="N46" s="80" t="str">
        <f>IF($D46="","",INDEX('Start List'!K$15:K$139,MATCH($D46,'Start List'!$C$15:$C$139,0)))</f>
        <v/>
      </c>
      <c r="O46" s="80" t="str">
        <f>IF($D46="","",INDEX('Start List'!L$15:L$139,MATCH($D46,'Start List'!$C$15:$C$139,0)))</f>
        <v/>
      </c>
      <c r="P46" s="80" t="str">
        <f>IF($D46="","",INDEX('Start List'!M$15:M$139,MATCH($D46,'Start List'!$C$15:$C$139,0)))</f>
        <v/>
      </c>
      <c r="Q46" s="80" t="str">
        <f>IF($D46="","",INDEX('Start List'!N$15:N$139,MATCH($D46,'Start List'!$C$15:$C$139,0)))</f>
        <v/>
      </c>
      <c r="R46" s="80" t="str">
        <f>IF($D46="","",INDEX('Start List'!O$15:O$139,MATCH($D46,'Start List'!$C$15:$C$139,0)))</f>
        <v/>
      </c>
      <c r="S46" s="80" t="str">
        <f>IF($D46="","",INDEX('Start List'!P$15:P$139,MATCH($D46,'Start List'!$C$15:$C$139,0)))</f>
        <v/>
      </c>
      <c r="T46" s="80" t="str">
        <f>IF($D46="","",INDEX('Start List'!Q$15:Q$139,MATCH($D46,'Start List'!$C$15:$C$139,0)))</f>
        <v/>
      </c>
      <c r="U46" s="80" t="str">
        <f>IF($D46="","",INDEX('Start List'!R$15:R$139,MATCH($D46,'Start List'!$C$15:$C$139,0)))</f>
        <v/>
      </c>
      <c r="V46" s="80" t="str">
        <f>IF($D46="","",INDEX('Start List'!S$15:S$139,MATCH($D46,'Start List'!$C$15:$C$139,0)))</f>
        <v/>
      </c>
      <c r="W46" s="80" t="str">
        <f>IF($D46="","",INDEX('Start List'!T$15:T$139,MATCH($D46,'Start List'!$C$15:$C$139,0)))</f>
        <v/>
      </c>
      <c r="X46" s="80" t="str">
        <f>IF($D46="","",INDEX('Start List'!U$15:U$139,MATCH($D46,'Start List'!$C$15:$C$139,0)))</f>
        <v/>
      </c>
      <c r="Y46" s="80" t="str">
        <f>IF($D46="","",INDEX('Start List'!V$15:V$139,MATCH($D46,'Start List'!$C$15:$C$139,0)))</f>
        <v/>
      </c>
      <c r="Z46" s="80" t="str">
        <f>IF($D46="","",INDEX('Start List'!W$15:W$139,MATCH($D46,'Start List'!$C$15:$C$139,0)))</f>
        <v/>
      </c>
      <c r="AA46" s="80" t="str">
        <f>IF($D46="","",INDEX('Start List'!X$15:X$139,MATCH($D46,'Start List'!$C$15:$C$139,0)))</f>
        <v/>
      </c>
      <c r="AB46" s="80" t="str">
        <f>IF($D46="","",INDEX('Start List'!Y$15:Y$139,MATCH($D46,'Start List'!$C$15:$C$139,0)))</f>
        <v/>
      </c>
    </row>
    <row r="47" spans="1:28" ht="12.75" customHeight="1" x14ac:dyDescent="0.2">
      <c r="A47" s="59" t="str">
        <f>IF(OR(COUNT('Start List'!A:A)+2='Men-Women'!A46,A46=""),"",'Men-Women'!A46+1)</f>
        <v/>
      </c>
      <c r="B47" s="228" t="str">
        <f>IF(A47="","",IF(COUNTIF($B$9:B46,$B$9)-1=COUNTIF('Start List'!C:C,"&gt;999"),'Start List'!$J$10,'Start List'!$J$9))</f>
        <v/>
      </c>
      <c r="C47" s="75" t="str">
        <f>IF(OR(B47="",COUNTIF($B$9:B47,B47)=1),"",COUNTIF($B$9:B47,B47)-1)</f>
        <v/>
      </c>
      <c r="D47" s="227" t="str">
        <f>IF(""=C47,"",IF(COUNTIF($D$9:D46,"")=2,LARGE('Start List'!C:C,A45),LARGE('Start List'!C:C,A46)))</f>
        <v/>
      </c>
      <c r="E47" s="79" t="str">
        <f>IF(C47="","",VLOOKUP(B47,Data!$AK$2:$AN$7,4,FALSE)&amp;C47)</f>
        <v/>
      </c>
      <c r="F47" s="80" t="str">
        <f>IF(COUNTIF(Data!$D$2:$D$97,'Men-Women'!$E47)=0,"",VLOOKUP('Men-Women'!$E47,Data!$D$2:$H$97,'Men-Women'!F$8,FALSE))</f>
        <v/>
      </c>
      <c r="G47" s="80" t="str">
        <f>IF(COUNTIF(Data!$D$2:$D$97,'Men-Women'!$E47)=0,"",VLOOKUP('Men-Women'!$E47,Data!$D$2:$H$97,'Men-Women'!G$8,FALSE))</f>
        <v/>
      </c>
      <c r="H47" s="80" t="str">
        <f>IF(COUNTIF(Data!$D$2:$D$97,'Men-Women'!$E47)=0,"",VLOOKUP('Men-Women'!$E47,Data!$D$2:$H$97,'Men-Women'!H$8,FALSE))</f>
        <v/>
      </c>
      <c r="I47" s="80" t="str">
        <f>IF(COUNTIF(Data!$D$2:$D$97,'Men-Women'!$E47)=0,"",VLOOKUP('Men-Women'!$E47,Data!$D$2:$H$97,'Men-Women'!I$8,FALSE))</f>
        <v/>
      </c>
      <c r="J47" s="77" t="str">
        <f>IF(B47&lt;&gt;B46,B47,IF($D47="","",INDEX('Start List'!$D$15:$D$139,MATCH($D47,'Start List'!$C$15:$C$139,0))))</f>
        <v/>
      </c>
      <c r="K47" s="77" t="str">
        <f>IF($D47="","",INDEX('Start List'!$E$15:$E$139,MATCH($D47,'Start List'!$C$15:$C$139,0)))</f>
        <v/>
      </c>
      <c r="L47" s="77" t="str">
        <f>IF($D47="","",INDEX('Start List'!$H$15:$H$139,MATCH($D47,'Start List'!$C$15:$C$139,0)))</f>
        <v/>
      </c>
      <c r="M47" s="79" t="str">
        <f>IF($D47="","",INDEX('Start List'!$F$15:$F$139,MATCH($D47,'Start List'!$C$15:$C$139,0)))</f>
        <v/>
      </c>
      <c r="N47" s="80" t="str">
        <f>IF($D47="","",INDEX('Start List'!K$15:K$139,MATCH($D47,'Start List'!$C$15:$C$139,0)))</f>
        <v/>
      </c>
      <c r="O47" s="80" t="str">
        <f>IF($D47="","",INDEX('Start List'!L$15:L$139,MATCH($D47,'Start List'!$C$15:$C$139,0)))</f>
        <v/>
      </c>
      <c r="P47" s="80" t="str">
        <f>IF($D47="","",INDEX('Start List'!M$15:M$139,MATCH($D47,'Start List'!$C$15:$C$139,0)))</f>
        <v/>
      </c>
      <c r="Q47" s="80" t="str">
        <f>IF($D47="","",INDEX('Start List'!N$15:N$139,MATCH($D47,'Start List'!$C$15:$C$139,0)))</f>
        <v/>
      </c>
      <c r="R47" s="80" t="str">
        <f>IF($D47="","",INDEX('Start List'!O$15:O$139,MATCH($D47,'Start List'!$C$15:$C$139,0)))</f>
        <v/>
      </c>
      <c r="S47" s="80" t="str">
        <f>IF($D47="","",INDEX('Start List'!P$15:P$139,MATCH($D47,'Start List'!$C$15:$C$139,0)))</f>
        <v/>
      </c>
      <c r="T47" s="80" t="str">
        <f>IF($D47="","",INDEX('Start List'!Q$15:Q$139,MATCH($D47,'Start List'!$C$15:$C$139,0)))</f>
        <v/>
      </c>
      <c r="U47" s="80" t="str">
        <f>IF($D47="","",INDEX('Start List'!R$15:R$139,MATCH($D47,'Start List'!$C$15:$C$139,0)))</f>
        <v/>
      </c>
      <c r="V47" s="80" t="str">
        <f>IF($D47="","",INDEX('Start List'!S$15:S$139,MATCH($D47,'Start List'!$C$15:$C$139,0)))</f>
        <v/>
      </c>
      <c r="W47" s="80" t="str">
        <f>IF($D47="","",INDEX('Start List'!T$15:T$139,MATCH($D47,'Start List'!$C$15:$C$139,0)))</f>
        <v/>
      </c>
      <c r="X47" s="80" t="str">
        <f>IF($D47="","",INDEX('Start List'!U$15:U$139,MATCH($D47,'Start List'!$C$15:$C$139,0)))</f>
        <v/>
      </c>
      <c r="Y47" s="80" t="str">
        <f>IF($D47="","",INDEX('Start List'!V$15:V$139,MATCH($D47,'Start List'!$C$15:$C$139,0)))</f>
        <v/>
      </c>
      <c r="Z47" s="80" t="str">
        <f>IF($D47="","",INDEX('Start List'!W$15:W$139,MATCH($D47,'Start List'!$C$15:$C$139,0)))</f>
        <v/>
      </c>
      <c r="AA47" s="80" t="str">
        <f>IF($D47="","",INDEX('Start List'!X$15:X$139,MATCH($D47,'Start List'!$C$15:$C$139,0)))</f>
        <v/>
      </c>
      <c r="AB47" s="80" t="str">
        <f>IF($D47="","",INDEX('Start List'!Y$15:Y$139,MATCH($D47,'Start List'!$C$15:$C$139,0)))</f>
        <v/>
      </c>
    </row>
    <row r="48" spans="1:28" ht="12.75" customHeight="1" x14ac:dyDescent="0.2">
      <c r="A48" s="59" t="str">
        <f>IF(OR(COUNT('Start List'!A:A)+2='Men-Women'!A47,A47=""),"",'Men-Women'!A47+1)</f>
        <v/>
      </c>
      <c r="B48" s="228" t="str">
        <f>IF(A48="","",IF(COUNTIF($B$9:B47,$B$9)-1=COUNTIF('Start List'!C:C,"&gt;999"),'Start List'!$J$10,'Start List'!$J$9))</f>
        <v/>
      </c>
      <c r="C48" s="75" t="str">
        <f>IF(OR(B48="",COUNTIF($B$9:B48,B48)=1),"",COUNTIF($B$9:B48,B48)-1)</f>
        <v/>
      </c>
      <c r="D48" s="227" t="str">
        <f>IF(""=C48,"",IF(COUNTIF($D$9:D47,"")=2,LARGE('Start List'!C:C,A46),LARGE('Start List'!C:C,A47)))</f>
        <v/>
      </c>
      <c r="E48" s="79" t="str">
        <f>IF(C48="","",VLOOKUP(B48,Data!$AK$2:$AN$7,4,FALSE)&amp;C48)</f>
        <v/>
      </c>
      <c r="F48" s="80" t="str">
        <f>IF(COUNTIF(Data!$D$2:$D$97,'Men-Women'!$E48)=0,"",VLOOKUP('Men-Women'!$E48,Data!$D$2:$H$97,'Men-Women'!F$8,FALSE))</f>
        <v/>
      </c>
      <c r="G48" s="80" t="str">
        <f>IF(COUNTIF(Data!$D$2:$D$97,'Men-Women'!$E48)=0,"",VLOOKUP('Men-Women'!$E48,Data!$D$2:$H$97,'Men-Women'!G$8,FALSE))</f>
        <v/>
      </c>
      <c r="H48" s="80" t="str">
        <f>IF(COUNTIF(Data!$D$2:$D$97,'Men-Women'!$E48)=0,"",VLOOKUP('Men-Women'!$E48,Data!$D$2:$H$97,'Men-Women'!H$8,FALSE))</f>
        <v/>
      </c>
      <c r="I48" s="80" t="str">
        <f>IF(COUNTIF(Data!$D$2:$D$97,'Men-Women'!$E48)=0,"",VLOOKUP('Men-Women'!$E48,Data!$D$2:$H$97,'Men-Women'!I$8,FALSE))</f>
        <v/>
      </c>
      <c r="J48" s="77" t="str">
        <f>IF(B48&lt;&gt;B47,B48,IF($D48="","",INDEX('Start List'!$D$15:$D$139,MATCH($D48,'Start List'!$C$15:$C$139,0))))</f>
        <v/>
      </c>
      <c r="K48" s="77" t="str">
        <f>IF($D48="","",INDEX('Start List'!$E$15:$E$139,MATCH($D48,'Start List'!$C$15:$C$139,0)))</f>
        <v/>
      </c>
      <c r="L48" s="77" t="str">
        <f>IF($D48="","",INDEX('Start List'!$H$15:$H$139,MATCH($D48,'Start List'!$C$15:$C$139,0)))</f>
        <v/>
      </c>
      <c r="M48" s="79" t="str">
        <f>IF($D48="","",INDEX('Start List'!$F$15:$F$139,MATCH($D48,'Start List'!$C$15:$C$139,0)))</f>
        <v/>
      </c>
      <c r="N48" s="80" t="str">
        <f>IF($D48="","",INDEX('Start List'!K$15:K$139,MATCH($D48,'Start List'!$C$15:$C$139,0)))</f>
        <v/>
      </c>
      <c r="O48" s="80" t="str">
        <f>IF($D48="","",INDEX('Start List'!L$15:L$139,MATCH($D48,'Start List'!$C$15:$C$139,0)))</f>
        <v/>
      </c>
      <c r="P48" s="80" t="str">
        <f>IF($D48="","",INDEX('Start List'!M$15:M$139,MATCH($D48,'Start List'!$C$15:$C$139,0)))</f>
        <v/>
      </c>
      <c r="Q48" s="80" t="str">
        <f>IF($D48="","",INDEX('Start List'!N$15:N$139,MATCH($D48,'Start List'!$C$15:$C$139,0)))</f>
        <v/>
      </c>
      <c r="R48" s="80" t="str">
        <f>IF($D48="","",INDEX('Start List'!O$15:O$139,MATCH($D48,'Start List'!$C$15:$C$139,0)))</f>
        <v/>
      </c>
      <c r="S48" s="80" t="str">
        <f>IF($D48="","",INDEX('Start List'!P$15:P$139,MATCH($D48,'Start List'!$C$15:$C$139,0)))</f>
        <v/>
      </c>
      <c r="T48" s="80" t="str">
        <f>IF($D48="","",INDEX('Start List'!Q$15:Q$139,MATCH($D48,'Start List'!$C$15:$C$139,0)))</f>
        <v/>
      </c>
      <c r="U48" s="80" t="str">
        <f>IF($D48="","",INDEX('Start List'!R$15:R$139,MATCH($D48,'Start List'!$C$15:$C$139,0)))</f>
        <v/>
      </c>
      <c r="V48" s="80" t="str">
        <f>IF($D48="","",INDEX('Start List'!S$15:S$139,MATCH($D48,'Start List'!$C$15:$C$139,0)))</f>
        <v/>
      </c>
      <c r="W48" s="80" t="str">
        <f>IF($D48="","",INDEX('Start List'!T$15:T$139,MATCH($D48,'Start List'!$C$15:$C$139,0)))</f>
        <v/>
      </c>
      <c r="X48" s="80" t="str">
        <f>IF($D48="","",INDEX('Start List'!U$15:U$139,MATCH($D48,'Start List'!$C$15:$C$139,0)))</f>
        <v/>
      </c>
      <c r="Y48" s="80" t="str">
        <f>IF($D48="","",INDEX('Start List'!V$15:V$139,MATCH($D48,'Start List'!$C$15:$C$139,0)))</f>
        <v/>
      </c>
      <c r="Z48" s="80" t="str">
        <f>IF($D48="","",INDEX('Start List'!W$15:W$139,MATCH($D48,'Start List'!$C$15:$C$139,0)))</f>
        <v/>
      </c>
      <c r="AA48" s="80" t="str">
        <f>IF($D48="","",INDEX('Start List'!X$15:X$139,MATCH($D48,'Start List'!$C$15:$C$139,0)))</f>
        <v/>
      </c>
      <c r="AB48" s="80" t="str">
        <f>IF($D48="","",INDEX('Start List'!Y$15:Y$139,MATCH($D48,'Start List'!$C$15:$C$139,0)))</f>
        <v/>
      </c>
    </row>
    <row r="49" spans="1:28" s="78" customFormat="1" ht="12.75" customHeight="1" x14ac:dyDescent="0.2">
      <c r="A49" s="59" t="str">
        <f>IF(OR(COUNT('Start List'!A:A)+2='Men-Women'!A48,A48=""),"",'Men-Women'!A48+1)</f>
        <v/>
      </c>
      <c r="B49" s="228" t="str">
        <f>IF(A49="","",IF(COUNTIF($B$9:B48,$B$9)-1=COUNTIF('Start List'!C:C,"&gt;999"),'Start List'!$J$10,'Start List'!$J$9))</f>
        <v/>
      </c>
      <c r="C49" s="75" t="str">
        <f>IF(OR(B49="",COUNTIF($B$9:B49,B49)=1),"",COUNTIF($B$9:B49,B49)-1)</f>
        <v/>
      </c>
      <c r="D49" s="227" t="str">
        <f>IF(""=C49,"",IF(COUNTIF($D$9:D48,"")=2,LARGE('Start List'!C:C,A47),LARGE('Start List'!C:C,A48)))</f>
        <v/>
      </c>
      <c r="E49" s="79" t="str">
        <f>IF(C49="","",VLOOKUP(B49,Data!$AK$2:$AN$7,4,FALSE)&amp;C49)</f>
        <v/>
      </c>
      <c r="F49" s="80" t="str">
        <f>IF(COUNTIF(Data!$D$2:$D$97,'Men-Women'!$E49)=0,"",VLOOKUP('Men-Women'!$E49,Data!$D$2:$H$97,'Men-Women'!F$8,FALSE))</f>
        <v/>
      </c>
      <c r="G49" s="80" t="str">
        <f>IF(COUNTIF(Data!$D$2:$D$97,'Men-Women'!$E49)=0,"",VLOOKUP('Men-Women'!$E49,Data!$D$2:$H$97,'Men-Women'!G$8,FALSE))</f>
        <v/>
      </c>
      <c r="H49" s="80" t="str">
        <f>IF(COUNTIF(Data!$D$2:$D$97,'Men-Women'!$E49)=0,"",VLOOKUP('Men-Women'!$E49,Data!$D$2:$H$97,'Men-Women'!H$8,FALSE))</f>
        <v/>
      </c>
      <c r="I49" s="80" t="str">
        <f>IF(COUNTIF(Data!$D$2:$D$97,'Men-Women'!$E49)=0,"",VLOOKUP('Men-Women'!$E49,Data!$D$2:$H$97,'Men-Women'!I$8,FALSE))</f>
        <v/>
      </c>
      <c r="J49" s="77" t="str">
        <f>IF(B49&lt;&gt;B48,B49,IF($D49="","",INDEX('Start List'!$D$15:$D$139,MATCH($D49,'Start List'!$C$15:$C$139,0))))</f>
        <v/>
      </c>
      <c r="K49" s="77" t="str">
        <f>IF($D49="","",INDEX('Start List'!$E$15:$E$139,MATCH($D49,'Start List'!$C$15:$C$139,0)))</f>
        <v/>
      </c>
      <c r="L49" s="77" t="str">
        <f>IF($D49="","",INDEX('Start List'!$H$15:$H$139,MATCH($D49,'Start List'!$C$15:$C$139,0)))</f>
        <v/>
      </c>
      <c r="M49" s="79" t="str">
        <f>IF($D49="","",INDEX('Start List'!$F$15:$F$139,MATCH($D49,'Start List'!$C$15:$C$139,0)))</f>
        <v/>
      </c>
      <c r="N49" s="80" t="str">
        <f>IF($D49="","",INDEX('Start List'!K$15:K$139,MATCH($D49,'Start List'!$C$15:$C$139,0)))</f>
        <v/>
      </c>
      <c r="O49" s="80" t="str">
        <f>IF($D49="","",INDEX('Start List'!L$15:L$139,MATCH($D49,'Start List'!$C$15:$C$139,0)))</f>
        <v/>
      </c>
      <c r="P49" s="80" t="str">
        <f>IF($D49="","",INDEX('Start List'!M$15:M$139,MATCH($D49,'Start List'!$C$15:$C$139,0)))</f>
        <v/>
      </c>
      <c r="Q49" s="80" t="str">
        <f>IF($D49="","",INDEX('Start List'!N$15:N$139,MATCH($D49,'Start List'!$C$15:$C$139,0)))</f>
        <v/>
      </c>
      <c r="R49" s="80" t="str">
        <f>IF($D49="","",INDEX('Start List'!O$15:O$139,MATCH($D49,'Start List'!$C$15:$C$139,0)))</f>
        <v/>
      </c>
      <c r="S49" s="80" t="str">
        <f>IF($D49="","",INDEX('Start List'!P$15:P$139,MATCH($D49,'Start List'!$C$15:$C$139,0)))</f>
        <v/>
      </c>
      <c r="T49" s="80" t="str">
        <f>IF($D49="","",INDEX('Start List'!Q$15:Q$139,MATCH($D49,'Start List'!$C$15:$C$139,0)))</f>
        <v/>
      </c>
      <c r="U49" s="80" t="str">
        <f>IF($D49="","",INDEX('Start List'!R$15:R$139,MATCH($D49,'Start List'!$C$15:$C$139,0)))</f>
        <v/>
      </c>
      <c r="V49" s="80" t="str">
        <f>IF($D49="","",INDEX('Start List'!S$15:S$139,MATCH($D49,'Start List'!$C$15:$C$139,0)))</f>
        <v/>
      </c>
      <c r="W49" s="80" t="str">
        <f>IF($D49="","",INDEX('Start List'!T$15:T$139,MATCH($D49,'Start List'!$C$15:$C$139,0)))</f>
        <v/>
      </c>
      <c r="X49" s="80" t="str">
        <f>IF($D49="","",INDEX('Start List'!U$15:U$139,MATCH($D49,'Start List'!$C$15:$C$139,0)))</f>
        <v/>
      </c>
      <c r="Y49" s="80" t="str">
        <f>IF($D49="","",INDEX('Start List'!V$15:V$139,MATCH($D49,'Start List'!$C$15:$C$139,0)))</f>
        <v/>
      </c>
      <c r="Z49" s="80" t="str">
        <f>IF($D49="","",INDEX('Start List'!W$15:W$139,MATCH($D49,'Start List'!$C$15:$C$139,0)))</f>
        <v/>
      </c>
      <c r="AA49" s="80" t="str">
        <f>IF($D49="","",INDEX('Start List'!X$15:X$139,MATCH($D49,'Start List'!$C$15:$C$139,0)))</f>
        <v/>
      </c>
      <c r="AB49" s="80" t="str">
        <f>IF($D49="","",INDEX('Start List'!Y$15:Y$139,MATCH($D49,'Start List'!$C$15:$C$139,0)))</f>
        <v/>
      </c>
    </row>
    <row r="50" spans="1:28" ht="12.75" customHeight="1" x14ac:dyDescent="0.2">
      <c r="A50" s="59" t="str">
        <f>IF(OR(COUNT('Start List'!A:A)+2='Men-Women'!A49,A49=""),"",'Men-Women'!A49+1)</f>
        <v/>
      </c>
      <c r="B50" s="228" t="str">
        <f>IF(A50="","",IF(COUNTIF($B$9:B49,$B$9)-1=COUNTIF('Start List'!C:C,"&gt;999"),'Start List'!$J$10,'Start List'!$J$9))</f>
        <v/>
      </c>
      <c r="C50" s="75" t="str">
        <f>IF(OR(B50="",COUNTIF($B$9:B50,B50)=1),"",COUNTIF($B$9:B50,B50)-1)</f>
        <v/>
      </c>
      <c r="D50" s="227" t="str">
        <f>IF(""=C50,"",IF(COUNTIF($D$9:D49,"")=2,LARGE('Start List'!C:C,A48),LARGE('Start List'!C:C,A49)))</f>
        <v/>
      </c>
      <c r="E50" s="79" t="str">
        <f>IF(C50="","",VLOOKUP(B50,Data!$AK$2:$AN$7,4,FALSE)&amp;C50)</f>
        <v/>
      </c>
      <c r="F50" s="80" t="str">
        <f>IF(COUNTIF(Data!$D$2:$D$97,'Men-Women'!$E50)=0,"",VLOOKUP('Men-Women'!$E50,Data!$D$2:$H$97,'Men-Women'!F$8,FALSE))</f>
        <v/>
      </c>
      <c r="G50" s="80" t="str">
        <f>IF(COUNTIF(Data!$D$2:$D$97,'Men-Women'!$E50)=0,"",VLOOKUP('Men-Women'!$E50,Data!$D$2:$H$97,'Men-Women'!G$8,FALSE))</f>
        <v/>
      </c>
      <c r="H50" s="80" t="str">
        <f>IF(COUNTIF(Data!$D$2:$D$97,'Men-Women'!$E50)=0,"",VLOOKUP('Men-Women'!$E50,Data!$D$2:$H$97,'Men-Women'!H$8,FALSE))</f>
        <v/>
      </c>
      <c r="I50" s="80" t="str">
        <f>IF(COUNTIF(Data!$D$2:$D$97,'Men-Women'!$E50)=0,"",VLOOKUP('Men-Women'!$E50,Data!$D$2:$H$97,'Men-Women'!I$8,FALSE))</f>
        <v/>
      </c>
      <c r="J50" s="77" t="str">
        <f>IF(B50&lt;&gt;B49,B50,IF($D50="","",INDEX('Start List'!$D$15:$D$139,MATCH($D50,'Start List'!$C$15:$C$139,0))))</f>
        <v/>
      </c>
      <c r="K50" s="77" t="str">
        <f>IF($D50="","",INDEX('Start List'!$E$15:$E$139,MATCH($D50,'Start List'!$C$15:$C$139,0)))</f>
        <v/>
      </c>
      <c r="L50" s="77" t="str">
        <f>IF($D50="","",INDEX('Start List'!$H$15:$H$139,MATCH($D50,'Start List'!$C$15:$C$139,0)))</f>
        <v/>
      </c>
      <c r="M50" s="79" t="str">
        <f>IF($D50="","",INDEX('Start List'!$F$15:$F$139,MATCH($D50,'Start List'!$C$15:$C$139,0)))</f>
        <v/>
      </c>
      <c r="N50" s="80" t="str">
        <f>IF($D50="","",INDEX('Start List'!K$15:K$139,MATCH($D50,'Start List'!$C$15:$C$139,0)))</f>
        <v/>
      </c>
      <c r="O50" s="80" t="str">
        <f>IF($D50="","",INDEX('Start List'!L$15:L$139,MATCH($D50,'Start List'!$C$15:$C$139,0)))</f>
        <v/>
      </c>
      <c r="P50" s="80" t="str">
        <f>IF($D50="","",INDEX('Start List'!M$15:M$139,MATCH($D50,'Start List'!$C$15:$C$139,0)))</f>
        <v/>
      </c>
      <c r="Q50" s="80" t="str">
        <f>IF($D50="","",INDEX('Start List'!N$15:N$139,MATCH($D50,'Start List'!$C$15:$C$139,0)))</f>
        <v/>
      </c>
      <c r="R50" s="80" t="str">
        <f>IF($D50="","",INDEX('Start List'!O$15:O$139,MATCH($D50,'Start List'!$C$15:$C$139,0)))</f>
        <v/>
      </c>
      <c r="S50" s="80" t="str">
        <f>IF($D50="","",INDEX('Start List'!P$15:P$139,MATCH($D50,'Start List'!$C$15:$C$139,0)))</f>
        <v/>
      </c>
      <c r="T50" s="80" t="str">
        <f>IF($D50="","",INDEX('Start List'!Q$15:Q$139,MATCH($D50,'Start List'!$C$15:$C$139,0)))</f>
        <v/>
      </c>
      <c r="U50" s="80" t="str">
        <f>IF($D50="","",INDEX('Start List'!R$15:R$139,MATCH($D50,'Start List'!$C$15:$C$139,0)))</f>
        <v/>
      </c>
      <c r="V50" s="80" t="str">
        <f>IF($D50="","",INDEX('Start List'!S$15:S$139,MATCH($D50,'Start List'!$C$15:$C$139,0)))</f>
        <v/>
      </c>
      <c r="W50" s="80" t="str">
        <f>IF($D50="","",INDEX('Start List'!T$15:T$139,MATCH($D50,'Start List'!$C$15:$C$139,0)))</f>
        <v/>
      </c>
      <c r="X50" s="80" t="str">
        <f>IF($D50="","",INDEX('Start List'!U$15:U$139,MATCH($D50,'Start List'!$C$15:$C$139,0)))</f>
        <v/>
      </c>
      <c r="Y50" s="80" t="str">
        <f>IF($D50="","",INDEX('Start List'!V$15:V$139,MATCH($D50,'Start List'!$C$15:$C$139,0)))</f>
        <v/>
      </c>
      <c r="Z50" s="80" t="str">
        <f>IF($D50="","",INDEX('Start List'!W$15:W$139,MATCH($D50,'Start List'!$C$15:$C$139,0)))</f>
        <v/>
      </c>
      <c r="AA50" s="80" t="str">
        <f>IF($D50="","",INDEX('Start List'!X$15:X$139,MATCH($D50,'Start List'!$C$15:$C$139,0)))</f>
        <v/>
      </c>
      <c r="AB50" s="80" t="str">
        <f>IF($D50="","",INDEX('Start List'!Y$15:Y$139,MATCH($D50,'Start List'!$C$15:$C$139,0)))</f>
        <v/>
      </c>
    </row>
    <row r="51" spans="1:28" ht="12.75" customHeight="1" x14ac:dyDescent="0.2">
      <c r="A51" s="59" t="str">
        <f>IF(OR(COUNT('Start List'!A:A)+2='Men-Women'!A50,A50=""),"",'Men-Women'!A50+1)</f>
        <v/>
      </c>
      <c r="B51" s="228" t="str">
        <f>IF(A51="","",IF(COUNTIF($B$9:B50,$B$9)-1=COUNTIF('Start List'!C:C,"&gt;999"),'Start List'!$J$10,'Start List'!$J$9))</f>
        <v/>
      </c>
      <c r="C51" s="75" t="str">
        <f>IF(OR(B51="",COUNTIF($B$9:B51,B51)=1),"",COUNTIF($B$9:B51,B51)-1)</f>
        <v/>
      </c>
      <c r="D51" s="227" t="str">
        <f>IF(""=C51,"",IF(COUNTIF($D$9:D50,"")=2,LARGE('Start List'!C:C,A49),LARGE('Start List'!C:C,A50)))</f>
        <v/>
      </c>
      <c r="E51" s="79" t="str">
        <f>IF(C51="","",VLOOKUP(B51,Data!$AK$2:$AN$7,4,FALSE)&amp;C51)</f>
        <v/>
      </c>
      <c r="F51" s="80" t="str">
        <f>IF(COUNTIF(Data!$D$2:$D$97,'Men-Women'!$E51)=0,"",VLOOKUP('Men-Women'!$E51,Data!$D$2:$H$97,'Men-Women'!F$8,FALSE))</f>
        <v/>
      </c>
      <c r="G51" s="80" t="str">
        <f>IF(COUNTIF(Data!$D$2:$D$97,'Men-Women'!$E51)=0,"",VLOOKUP('Men-Women'!$E51,Data!$D$2:$H$97,'Men-Women'!G$8,FALSE))</f>
        <v/>
      </c>
      <c r="H51" s="80" t="str">
        <f>IF(COUNTIF(Data!$D$2:$D$97,'Men-Women'!$E51)=0,"",VLOOKUP('Men-Women'!$E51,Data!$D$2:$H$97,'Men-Women'!H$8,FALSE))</f>
        <v/>
      </c>
      <c r="I51" s="80" t="str">
        <f>IF(COUNTIF(Data!$D$2:$D$97,'Men-Women'!$E51)=0,"",VLOOKUP('Men-Women'!$E51,Data!$D$2:$H$97,'Men-Women'!I$8,FALSE))</f>
        <v/>
      </c>
      <c r="J51" s="77" t="str">
        <f>IF(B51&lt;&gt;B50,B51,IF($D51="","",INDEX('Start List'!$D$15:$D$139,MATCH($D51,'Start List'!$C$15:$C$139,0))))</f>
        <v/>
      </c>
      <c r="K51" s="77" t="str">
        <f>IF($D51="","",INDEX('Start List'!$E$15:$E$139,MATCH($D51,'Start List'!$C$15:$C$139,0)))</f>
        <v/>
      </c>
      <c r="L51" s="77" t="str">
        <f>IF($D51="","",INDEX('Start List'!$H$15:$H$139,MATCH($D51,'Start List'!$C$15:$C$139,0)))</f>
        <v/>
      </c>
      <c r="M51" s="79" t="str">
        <f>IF($D51="","",INDEX('Start List'!$F$15:$F$139,MATCH($D51,'Start List'!$C$15:$C$139,0)))</f>
        <v/>
      </c>
      <c r="N51" s="80" t="str">
        <f>IF($D51="","",INDEX('Start List'!K$15:K$139,MATCH($D51,'Start List'!$C$15:$C$139,0)))</f>
        <v/>
      </c>
      <c r="O51" s="80" t="str">
        <f>IF($D51="","",INDEX('Start List'!L$15:L$139,MATCH($D51,'Start List'!$C$15:$C$139,0)))</f>
        <v/>
      </c>
      <c r="P51" s="80" t="str">
        <f>IF($D51="","",INDEX('Start List'!M$15:M$139,MATCH($D51,'Start List'!$C$15:$C$139,0)))</f>
        <v/>
      </c>
      <c r="Q51" s="80" t="str">
        <f>IF($D51="","",INDEX('Start List'!N$15:N$139,MATCH($D51,'Start List'!$C$15:$C$139,0)))</f>
        <v/>
      </c>
      <c r="R51" s="80" t="str">
        <f>IF($D51="","",INDEX('Start List'!O$15:O$139,MATCH($D51,'Start List'!$C$15:$C$139,0)))</f>
        <v/>
      </c>
      <c r="S51" s="80" t="str">
        <f>IF($D51="","",INDEX('Start List'!P$15:P$139,MATCH($D51,'Start List'!$C$15:$C$139,0)))</f>
        <v/>
      </c>
      <c r="T51" s="80" t="str">
        <f>IF($D51="","",INDEX('Start List'!Q$15:Q$139,MATCH($D51,'Start List'!$C$15:$C$139,0)))</f>
        <v/>
      </c>
      <c r="U51" s="80" t="str">
        <f>IF($D51="","",INDEX('Start List'!R$15:R$139,MATCH($D51,'Start List'!$C$15:$C$139,0)))</f>
        <v/>
      </c>
      <c r="V51" s="80" t="str">
        <f>IF($D51="","",INDEX('Start List'!S$15:S$139,MATCH($D51,'Start List'!$C$15:$C$139,0)))</f>
        <v/>
      </c>
      <c r="W51" s="80" t="str">
        <f>IF($D51="","",INDEX('Start List'!T$15:T$139,MATCH($D51,'Start List'!$C$15:$C$139,0)))</f>
        <v/>
      </c>
      <c r="X51" s="80" t="str">
        <f>IF($D51="","",INDEX('Start List'!U$15:U$139,MATCH($D51,'Start List'!$C$15:$C$139,0)))</f>
        <v/>
      </c>
      <c r="Y51" s="80" t="str">
        <f>IF($D51="","",INDEX('Start List'!V$15:V$139,MATCH($D51,'Start List'!$C$15:$C$139,0)))</f>
        <v/>
      </c>
      <c r="Z51" s="80" t="str">
        <f>IF($D51="","",INDEX('Start List'!W$15:W$139,MATCH($D51,'Start List'!$C$15:$C$139,0)))</f>
        <v/>
      </c>
      <c r="AA51" s="80" t="str">
        <f>IF($D51="","",INDEX('Start List'!X$15:X$139,MATCH($D51,'Start List'!$C$15:$C$139,0)))</f>
        <v/>
      </c>
      <c r="AB51" s="80" t="str">
        <f>IF($D51="","",INDEX('Start List'!Y$15:Y$139,MATCH($D51,'Start List'!$C$15:$C$139,0)))</f>
        <v/>
      </c>
    </row>
    <row r="52" spans="1:28" ht="12.75" customHeight="1" x14ac:dyDescent="0.2">
      <c r="A52" s="59" t="str">
        <f>IF(OR(COUNT('Start List'!A:A)+2='Men-Women'!A51,A51=""),"",'Men-Women'!A51+1)</f>
        <v/>
      </c>
      <c r="B52" s="228" t="str">
        <f>IF(A52="","",IF(COUNTIF($B$9:B51,$B$9)-1=COUNTIF('Start List'!C:C,"&gt;999"),'Start List'!$J$10,'Start List'!$J$9))</f>
        <v/>
      </c>
      <c r="C52" s="75" t="str">
        <f>IF(OR(B52="",COUNTIF($B$9:B52,B52)=1),"",COUNTIF($B$9:B52,B52)-1)</f>
        <v/>
      </c>
      <c r="D52" s="227" t="str">
        <f>IF(""=C52,"",IF(COUNTIF($D$9:D51,"")=2,LARGE('Start List'!C:C,A50),LARGE('Start List'!C:C,A51)))</f>
        <v/>
      </c>
      <c r="E52" s="79" t="str">
        <f>IF(C52="","",VLOOKUP(B52,Data!$AK$2:$AN$7,4,FALSE)&amp;C52)</f>
        <v/>
      </c>
      <c r="F52" s="80" t="str">
        <f>IF(COUNTIF(Data!$D$2:$D$97,'Men-Women'!$E52)=0,"",VLOOKUP('Men-Women'!$E52,Data!$D$2:$H$97,'Men-Women'!F$8,FALSE))</f>
        <v/>
      </c>
      <c r="G52" s="80" t="str">
        <f>IF(COUNTIF(Data!$D$2:$D$97,'Men-Women'!$E52)=0,"",VLOOKUP('Men-Women'!$E52,Data!$D$2:$H$97,'Men-Women'!G$8,FALSE))</f>
        <v/>
      </c>
      <c r="H52" s="80" t="str">
        <f>IF(COUNTIF(Data!$D$2:$D$97,'Men-Women'!$E52)=0,"",VLOOKUP('Men-Women'!$E52,Data!$D$2:$H$97,'Men-Women'!H$8,FALSE))</f>
        <v/>
      </c>
      <c r="I52" s="80" t="str">
        <f>IF(COUNTIF(Data!$D$2:$D$97,'Men-Women'!$E52)=0,"",VLOOKUP('Men-Women'!$E52,Data!$D$2:$H$97,'Men-Women'!I$8,FALSE))</f>
        <v/>
      </c>
      <c r="J52" s="77" t="str">
        <f>IF(B52&lt;&gt;B51,B52,IF($D52="","",INDEX('Start List'!$D$15:$D$139,MATCH($D52,'Start List'!$C$15:$C$139,0))))</f>
        <v/>
      </c>
      <c r="K52" s="77" t="str">
        <f>IF($D52="","",INDEX('Start List'!$E$15:$E$139,MATCH($D52,'Start List'!$C$15:$C$139,0)))</f>
        <v/>
      </c>
      <c r="L52" s="77" t="str">
        <f>IF($D52="","",INDEX('Start List'!$H$15:$H$139,MATCH($D52,'Start List'!$C$15:$C$139,0)))</f>
        <v/>
      </c>
      <c r="M52" s="79" t="str">
        <f>IF($D52="","",INDEX('Start List'!$F$15:$F$139,MATCH($D52,'Start List'!$C$15:$C$139,0)))</f>
        <v/>
      </c>
      <c r="N52" s="80" t="str">
        <f>IF($D52="","",INDEX('Start List'!K$15:K$139,MATCH($D52,'Start List'!$C$15:$C$139,0)))</f>
        <v/>
      </c>
      <c r="O52" s="80" t="str">
        <f>IF($D52="","",INDEX('Start List'!L$15:L$139,MATCH($D52,'Start List'!$C$15:$C$139,0)))</f>
        <v/>
      </c>
      <c r="P52" s="80" t="str">
        <f>IF($D52="","",INDEX('Start List'!M$15:M$139,MATCH($D52,'Start List'!$C$15:$C$139,0)))</f>
        <v/>
      </c>
      <c r="Q52" s="80" t="str">
        <f>IF($D52="","",INDEX('Start List'!N$15:N$139,MATCH($D52,'Start List'!$C$15:$C$139,0)))</f>
        <v/>
      </c>
      <c r="R52" s="80" t="str">
        <f>IF($D52="","",INDEX('Start List'!O$15:O$139,MATCH($D52,'Start List'!$C$15:$C$139,0)))</f>
        <v/>
      </c>
      <c r="S52" s="80" t="str">
        <f>IF($D52="","",INDEX('Start List'!P$15:P$139,MATCH($D52,'Start List'!$C$15:$C$139,0)))</f>
        <v/>
      </c>
      <c r="T52" s="80" t="str">
        <f>IF($D52="","",INDEX('Start List'!Q$15:Q$139,MATCH($D52,'Start List'!$C$15:$C$139,0)))</f>
        <v/>
      </c>
      <c r="U52" s="80" t="str">
        <f>IF($D52="","",INDEX('Start List'!R$15:R$139,MATCH($D52,'Start List'!$C$15:$C$139,0)))</f>
        <v/>
      </c>
      <c r="V52" s="80" t="str">
        <f>IF($D52="","",INDEX('Start List'!S$15:S$139,MATCH($D52,'Start List'!$C$15:$C$139,0)))</f>
        <v/>
      </c>
      <c r="W52" s="80" t="str">
        <f>IF($D52="","",INDEX('Start List'!T$15:T$139,MATCH($D52,'Start List'!$C$15:$C$139,0)))</f>
        <v/>
      </c>
      <c r="X52" s="80" t="str">
        <f>IF($D52="","",INDEX('Start List'!U$15:U$139,MATCH($D52,'Start List'!$C$15:$C$139,0)))</f>
        <v/>
      </c>
      <c r="Y52" s="80" t="str">
        <f>IF($D52="","",INDEX('Start List'!V$15:V$139,MATCH($D52,'Start List'!$C$15:$C$139,0)))</f>
        <v/>
      </c>
      <c r="Z52" s="80" t="str">
        <f>IF($D52="","",INDEX('Start List'!W$15:W$139,MATCH($D52,'Start List'!$C$15:$C$139,0)))</f>
        <v/>
      </c>
      <c r="AA52" s="80" t="str">
        <f>IF($D52="","",INDEX('Start List'!X$15:X$139,MATCH($D52,'Start List'!$C$15:$C$139,0)))</f>
        <v/>
      </c>
      <c r="AB52" s="80" t="str">
        <f>IF($D52="","",INDEX('Start List'!Y$15:Y$139,MATCH($D52,'Start List'!$C$15:$C$139,0)))</f>
        <v/>
      </c>
    </row>
    <row r="53" spans="1:28" ht="12.75" customHeight="1" x14ac:dyDescent="0.2">
      <c r="A53" s="59" t="str">
        <f>IF(OR(COUNT('Start List'!A:A)+2='Men-Women'!A52,A52=""),"",'Men-Women'!A52+1)</f>
        <v/>
      </c>
      <c r="B53" s="228" t="str">
        <f>IF(A53="","",IF(COUNTIF($B$9:B52,$B$9)-1=COUNTIF('Start List'!C:C,"&gt;999"),'Start List'!$J$10,'Start List'!$J$9))</f>
        <v/>
      </c>
      <c r="C53" s="75" t="str">
        <f>IF(OR(B53="",COUNTIF($B$9:B53,B53)=1),"",COUNTIF($B$9:B53,B53)-1)</f>
        <v/>
      </c>
      <c r="D53" s="227" t="str">
        <f>IF(""=C53,"",IF(COUNTIF($D$9:D52,"")=2,LARGE('Start List'!C:C,A51),LARGE('Start List'!C:C,A52)))</f>
        <v/>
      </c>
      <c r="E53" s="79" t="str">
        <f>IF(C53="","",VLOOKUP(B53,Data!$AK$2:$AN$7,4,FALSE)&amp;C53)</f>
        <v/>
      </c>
      <c r="F53" s="80" t="str">
        <f>IF(COUNTIF(Data!$D$2:$D$97,'Men-Women'!$E53)=0,"",VLOOKUP('Men-Women'!$E53,Data!$D$2:$H$97,'Men-Women'!F$8,FALSE))</f>
        <v/>
      </c>
      <c r="G53" s="80" t="str">
        <f>IF(COUNTIF(Data!$D$2:$D$97,'Men-Women'!$E53)=0,"",VLOOKUP('Men-Women'!$E53,Data!$D$2:$H$97,'Men-Women'!G$8,FALSE))</f>
        <v/>
      </c>
      <c r="H53" s="80" t="str">
        <f>IF(COUNTIF(Data!$D$2:$D$97,'Men-Women'!$E53)=0,"",VLOOKUP('Men-Women'!$E53,Data!$D$2:$H$97,'Men-Women'!H$8,FALSE))</f>
        <v/>
      </c>
      <c r="I53" s="80" t="str">
        <f>IF(COUNTIF(Data!$D$2:$D$97,'Men-Women'!$E53)=0,"",VLOOKUP('Men-Women'!$E53,Data!$D$2:$H$97,'Men-Women'!I$8,FALSE))</f>
        <v/>
      </c>
      <c r="J53" s="77" t="str">
        <f>IF(B53&lt;&gt;B52,B53,IF($D53="","",INDEX('Start List'!$D$15:$D$139,MATCH($D53,'Start List'!$C$15:$C$139,0))))</f>
        <v/>
      </c>
      <c r="K53" s="77" t="str">
        <f>IF($D53="","",INDEX('Start List'!$E$15:$E$139,MATCH($D53,'Start List'!$C$15:$C$139,0)))</f>
        <v/>
      </c>
      <c r="L53" s="77" t="str">
        <f>IF($D53="","",INDEX('Start List'!$H$15:$H$139,MATCH($D53,'Start List'!$C$15:$C$139,0)))</f>
        <v/>
      </c>
      <c r="M53" s="79" t="str">
        <f>IF($D53="","",INDEX('Start List'!$F$15:$F$139,MATCH($D53,'Start List'!$C$15:$C$139,0)))</f>
        <v/>
      </c>
      <c r="N53" s="80" t="str">
        <f>IF($D53="","",INDEX('Start List'!K$15:K$139,MATCH($D53,'Start List'!$C$15:$C$139,0)))</f>
        <v/>
      </c>
      <c r="O53" s="80" t="str">
        <f>IF($D53="","",INDEX('Start List'!L$15:L$139,MATCH($D53,'Start List'!$C$15:$C$139,0)))</f>
        <v/>
      </c>
      <c r="P53" s="80" t="str">
        <f>IF($D53="","",INDEX('Start List'!M$15:M$139,MATCH($D53,'Start List'!$C$15:$C$139,0)))</f>
        <v/>
      </c>
      <c r="Q53" s="80" t="str">
        <f>IF($D53="","",INDEX('Start List'!N$15:N$139,MATCH($D53,'Start List'!$C$15:$C$139,0)))</f>
        <v/>
      </c>
      <c r="R53" s="80" t="str">
        <f>IF($D53="","",INDEX('Start List'!O$15:O$139,MATCH($D53,'Start List'!$C$15:$C$139,0)))</f>
        <v/>
      </c>
      <c r="S53" s="80" t="str">
        <f>IF($D53="","",INDEX('Start List'!P$15:P$139,MATCH($D53,'Start List'!$C$15:$C$139,0)))</f>
        <v/>
      </c>
      <c r="T53" s="80" t="str">
        <f>IF($D53="","",INDEX('Start List'!Q$15:Q$139,MATCH($D53,'Start List'!$C$15:$C$139,0)))</f>
        <v/>
      </c>
      <c r="U53" s="80" t="str">
        <f>IF($D53="","",INDEX('Start List'!R$15:R$139,MATCH($D53,'Start List'!$C$15:$C$139,0)))</f>
        <v/>
      </c>
      <c r="V53" s="80" t="str">
        <f>IF($D53="","",INDEX('Start List'!S$15:S$139,MATCH($D53,'Start List'!$C$15:$C$139,0)))</f>
        <v/>
      </c>
      <c r="W53" s="80" t="str">
        <f>IF($D53="","",INDEX('Start List'!T$15:T$139,MATCH($D53,'Start List'!$C$15:$C$139,0)))</f>
        <v/>
      </c>
      <c r="X53" s="80" t="str">
        <f>IF($D53="","",INDEX('Start List'!U$15:U$139,MATCH($D53,'Start List'!$C$15:$C$139,0)))</f>
        <v/>
      </c>
      <c r="Y53" s="80" t="str">
        <f>IF($D53="","",INDEX('Start List'!V$15:V$139,MATCH($D53,'Start List'!$C$15:$C$139,0)))</f>
        <v/>
      </c>
      <c r="Z53" s="80" t="str">
        <f>IF($D53="","",INDEX('Start List'!W$15:W$139,MATCH($D53,'Start List'!$C$15:$C$139,0)))</f>
        <v/>
      </c>
      <c r="AA53" s="80" t="str">
        <f>IF($D53="","",INDEX('Start List'!X$15:X$139,MATCH($D53,'Start List'!$C$15:$C$139,0)))</f>
        <v/>
      </c>
      <c r="AB53" s="80" t="str">
        <f>IF($D53="","",INDEX('Start List'!Y$15:Y$139,MATCH($D53,'Start List'!$C$15:$C$139,0)))</f>
        <v/>
      </c>
    </row>
    <row r="54" spans="1:28" ht="12.75" customHeight="1" x14ac:dyDescent="0.2">
      <c r="A54" s="59" t="str">
        <f>IF(OR(COUNT('Start List'!A:A)+2='Men-Women'!A53,A53=""),"",'Men-Women'!A53+1)</f>
        <v/>
      </c>
      <c r="B54" s="228" t="str">
        <f>IF(A54="","",IF(COUNTIF($B$9:B53,$B$9)-1=COUNTIF('Start List'!C:C,"&gt;999"),'Start List'!$J$10,'Start List'!$J$9))</f>
        <v/>
      </c>
      <c r="C54" s="75" t="str">
        <f>IF(OR(B54="",COUNTIF($B$9:B54,B54)=1),"",COUNTIF($B$9:B54,B54)-1)</f>
        <v/>
      </c>
      <c r="D54" s="227" t="str">
        <f>IF(""=C54,"",IF(COUNTIF($D$9:D53,"")=2,LARGE('Start List'!C:C,A52),LARGE('Start List'!C:C,A53)))</f>
        <v/>
      </c>
      <c r="E54" s="79" t="str">
        <f>IF(C54="","",VLOOKUP(B54,Data!$AK$2:$AN$7,4,FALSE)&amp;C54)</f>
        <v/>
      </c>
      <c r="F54" s="80" t="str">
        <f>IF(COUNTIF(Data!$D$2:$D$97,'Men-Women'!$E54)=0,"",VLOOKUP('Men-Women'!$E54,Data!$D$2:$H$97,'Men-Women'!F$8,FALSE))</f>
        <v/>
      </c>
      <c r="G54" s="80" t="str">
        <f>IF(COUNTIF(Data!$D$2:$D$97,'Men-Women'!$E54)=0,"",VLOOKUP('Men-Women'!$E54,Data!$D$2:$H$97,'Men-Women'!G$8,FALSE))</f>
        <v/>
      </c>
      <c r="H54" s="80" t="str">
        <f>IF(COUNTIF(Data!$D$2:$D$97,'Men-Women'!$E54)=0,"",VLOOKUP('Men-Women'!$E54,Data!$D$2:$H$97,'Men-Women'!H$8,FALSE))</f>
        <v/>
      </c>
      <c r="I54" s="80" t="str">
        <f>IF(COUNTIF(Data!$D$2:$D$97,'Men-Women'!$E54)=0,"",VLOOKUP('Men-Women'!$E54,Data!$D$2:$H$97,'Men-Women'!I$8,FALSE))</f>
        <v/>
      </c>
      <c r="J54" s="77" t="str">
        <f>IF(B54&lt;&gt;B53,B54,IF($D54="","",INDEX('Start List'!$D$15:$D$139,MATCH($D54,'Start List'!$C$15:$C$139,0))))</f>
        <v/>
      </c>
      <c r="K54" s="77" t="str">
        <f>IF($D54="","",INDEX('Start List'!$E$15:$E$139,MATCH($D54,'Start List'!$C$15:$C$139,0)))</f>
        <v/>
      </c>
      <c r="L54" s="77" t="str">
        <f>IF($D54="","",INDEX('Start List'!$H$15:$H$139,MATCH($D54,'Start List'!$C$15:$C$139,0)))</f>
        <v/>
      </c>
      <c r="M54" s="79" t="str">
        <f>IF($D54="","",INDEX('Start List'!$F$15:$F$139,MATCH($D54,'Start List'!$C$15:$C$139,0)))</f>
        <v/>
      </c>
      <c r="N54" s="80" t="str">
        <f>IF($D54="","",INDEX('Start List'!K$15:K$139,MATCH($D54,'Start List'!$C$15:$C$139,0)))</f>
        <v/>
      </c>
      <c r="O54" s="80" t="str">
        <f>IF($D54="","",INDEX('Start List'!L$15:L$139,MATCH($D54,'Start List'!$C$15:$C$139,0)))</f>
        <v/>
      </c>
      <c r="P54" s="80" t="str">
        <f>IF($D54="","",INDEX('Start List'!M$15:M$139,MATCH($D54,'Start List'!$C$15:$C$139,0)))</f>
        <v/>
      </c>
      <c r="Q54" s="80" t="str">
        <f>IF($D54="","",INDEX('Start List'!N$15:N$139,MATCH($D54,'Start List'!$C$15:$C$139,0)))</f>
        <v/>
      </c>
      <c r="R54" s="80" t="str">
        <f>IF($D54="","",INDEX('Start List'!O$15:O$139,MATCH($D54,'Start List'!$C$15:$C$139,0)))</f>
        <v/>
      </c>
      <c r="S54" s="80" t="str">
        <f>IF($D54="","",INDEX('Start List'!P$15:P$139,MATCH($D54,'Start List'!$C$15:$C$139,0)))</f>
        <v/>
      </c>
      <c r="T54" s="80" t="str">
        <f>IF($D54="","",INDEX('Start List'!Q$15:Q$139,MATCH($D54,'Start List'!$C$15:$C$139,0)))</f>
        <v/>
      </c>
      <c r="U54" s="80" t="str">
        <f>IF($D54="","",INDEX('Start List'!R$15:R$139,MATCH($D54,'Start List'!$C$15:$C$139,0)))</f>
        <v/>
      </c>
      <c r="V54" s="80" t="str">
        <f>IF($D54="","",INDEX('Start List'!S$15:S$139,MATCH($D54,'Start List'!$C$15:$C$139,0)))</f>
        <v/>
      </c>
      <c r="W54" s="80" t="str">
        <f>IF($D54="","",INDEX('Start List'!T$15:T$139,MATCH($D54,'Start List'!$C$15:$C$139,0)))</f>
        <v/>
      </c>
      <c r="X54" s="80" t="str">
        <f>IF($D54="","",INDEX('Start List'!U$15:U$139,MATCH($D54,'Start List'!$C$15:$C$139,0)))</f>
        <v/>
      </c>
      <c r="Y54" s="80" t="str">
        <f>IF($D54="","",INDEX('Start List'!V$15:V$139,MATCH($D54,'Start List'!$C$15:$C$139,0)))</f>
        <v/>
      </c>
      <c r="Z54" s="80" t="str">
        <f>IF($D54="","",INDEX('Start List'!W$15:W$139,MATCH($D54,'Start List'!$C$15:$C$139,0)))</f>
        <v/>
      </c>
      <c r="AA54" s="80" t="str">
        <f>IF($D54="","",INDEX('Start List'!X$15:X$139,MATCH($D54,'Start List'!$C$15:$C$139,0)))</f>
        <v/>
      </c>
      <c r="AB54" s="80" t="str">
        <f>IF($D54="","",INDEX('Start List'!Y$15:Y$139,MATCH($D54,'Start List'!$C$15:$C$139,0)))</f>
        <v/>
      </c>
    </row>
    <row r="55" spans="1:28" ht="12.75" customHeight="1" x14ac:dyDescent="0.2">
      <c r="A55" s="59" t="str">
        <f>IF(OR(COUNT('Start List'!A:A)+2='Men-Women'!A54,A54=""),"",'Men-Women'!A54+1)</f>
        <v/>
      </c>
      <c r="B55" s="228" t="str">
        <f>IF(A55="","",IF(COUNTIF($B$9:B54,$B$9)-1=COUNTIF('Start List'!C:C,"&gt;999"),'Start List'!$J$10,'Start List'!$J$9))</f>
        <v/>
      </c>
      <c r="C55" s="75" t="str">
        <f>IF(OR(B55="",COUNTIF($B$9:B55,B55)=1),"",COUNTIF($B$9:B55,B55)-1)</f>
        <v/>
      </c>
      <c r="D55" s="227" t="str">
        <f>IF(""=C55,"",IF(COUNTIF($D$9:D54,"")=2,LARGE('Start List'!C:C,A53),LARGE('Start List'!C:C,A54)))</f>
        <v/>
      </c>
      <c r="E55" s="79" t="str">
        <f>IF(C55="","",VLOOKUP(B55,Data!$AK$2:$AN$7,4,FALSE)&amp;C55)</f>
        <v/>
      </c>
      <c r="F55" s="80" t="str">
        <f>IF(COUNTIF(Data!$D$2:$D$97,'Men-Women'!$E55)=0,"",VLOOKUP('Men-Women'!$E55,Data!$D$2:$H$97,'Men-Women'!F$8,FALSE))</f>
        <v/>
      </c>
      <c r="G55" s="80" t="str">
        <f>IF(COUNTIF(Data!$D$2:$D$97,'Men-Women'!$E55)=0,"",VLOOKUP('Men-Women'!$E55,Data!$D$2:$H$97,'Men-Women'!G$8,FALSE))</f>
        <v/>
      </c>
      <c r="H55" s="80" t="str">
        <f>IF(COUNTIF(Data!$D$2:$D$97,'Men-Women'!$E55)=0,"",VLOOKUP('Men-Women'!$E55,Data!$D$2:$H$97,'Men-Women'!H$8,FALSE))</f>
        <v/>
      </c>
      <c r="I55" s="80" t="str">
        <f>IF(COUNTIF(Data!$D$2:$D$97,'Men-Women'!$E55)=0,"",VLOOKUP('Men-Women'!$E55,Data!$D$2:$H$97,'Men-Women'!I$8,FALSE))</f>
        <v/>
      </c>
      <c r="J55" s="77" t="str">
        <f>IF(B55&lt;&gt;B54,B55,IF($D55="","",INDEX('Start List'!$D$15:$D$139,MATCH($D55,'Start List'!$C$15:$C$139,0))))</f>
        <v/>
      </c>
      <c r="K55" s="77" t="str">
        <f>IF($D55="","",INDEX('Start List'!$E$15:$E$139,MATCH($D55,'Start List'!$C$15:$C$139,0)))</f>
        <v/>
      </c>
      <c r="L55" s="77" t="str">
        <f>IF($D55="","",INDEX('Start List'!$H$15:$H$139,MATCH($D55,'Start List'!$C$15:$C$139,0)))</f>
        <v/>
      </c>
      <c r="M55" s="79" t="str">
        <f>IF($D55="","",INDEX('Start List'!$F$15:$F$139,MATCH($D55,'Start List'!$C$15:$C$139,0)))</f>
        <v/>
      </c>
      <c r="N55" s="80" t="str">
        <f>IF($D55="","",INDEX('Start List'!K$15:K$139,MATCH($D55,'Start List'!$C$15:$C$139,0)))</f>
        <v/>
      </c>
      <c r="O55" s="80" t="str">
        <f>IF($D55="","",INDEX('Start List'!L$15:L$139,MATCH($D55,'Start List'!$C$15:$C$139,0)))</f>
        <v/>
      </c>
      <c r="P55" s="80" t="str">
        <f>IF($D55="","",INDEX('Start List'!M$15:M$139,MATCH($D55,'Start List'!$C$15:$C$139,0)))</f>
        <v/>
      </c>
      <c r="Q55" s="80" t="str">
        <f>IF($D55="","",INDEX('Start List'!N$15:N$139,MATCH($D55,'Start List'!$C$15:$C$139,0)))</f>
        <v/>
      </c>
      <c r="R55" s="80" t="str">
        <f>IF($D55="","",INDEX('Start List'!O$15:O$139,MATCH($D55,'Start List'!$C$15:$C$139,0)))</f>
        <v/>
      </c>
      <c r="S55" s="80" t="str">
        <f>IF($D55="","",INDEX('Start List'!P$15:P$139,MATCH($D55,'Start List'!$C$15:$C$139,0)))</f>
        <v/>
      </c>
      <c r="T55" s="80" t="str">
        <f>IF($D55="","",INDEX('Start List'!Q$15:Q$139,MATCH($D55,'Start List'!$C$15:$C$139,0)))</f>
        <v/>
      </c>
      <c r="U55" s="80" t="str">
        <f>IF($D55="","",INDEX('Start List'!R$15:R$139,MATCH($D55,'Start List'!$C$15:$C$139,0)))</f>
        <v/>
      </c>
      <c r="V55" s="80" t="str">
        <f>IF($D55="","",INDEX('Start List'!S$15:S$139,MATCH($D55,'Start List'!$C$15:$C$139,0)))</f>
        <v/>
      </c>
      <c r="W55" s="80" t="str">
        <f>IF($D55="","",INDEX('Start List'!T$15:T$139,MATCH($D55,'Start List'!$C$15:$C$139,0)))</f>
        <v/>
      </c>
      <c r="X55" s="80" t="str">
        <f>IF($D55="","",INDEX('Start List'!U$15:U$139,MATCH($D55,'Start List'!$C$15:$C$139,0)))</f>
        <v/>
      </c>
      <c r="Y55" s="80" t="str">
        <f>IF($D55="","",INDEX('Start List'!V$15:V$139,MATCH($D55,'Start List'!$C$15:$C$139,0)))</f>
        <v/>
      </c>
      <c r="Z55" s="80" t="str">
        <f>IF($D55="","",INDEX('Start List'!W$15:W$139,MATCH($D55,'Start List'!$C$15:$C$139,0)))</f>
        <v/>
      </c>
      <c r="AA55" s="80" t="str">
        <f>IF($D55="","",INDEX('Start List'!X$15:X$139,MATCH($D55,'Start List'!$C$15:$C$139,0)))</f>
        <v/>
      </c>
      <c r="AB55" s="80" t="str">
        <f>IF($D55="","",INDEX('Start List'!Y$15:Y$139,MATCH($D55,'Start List'!$C$15:$C$139,0)))</f>
        <v/>
      </c>
    </row>
    <row r="56" spans="1:28" ht="12.75" customHeight="1" x14ac:dyDescent="0.2">
      <c r="A56" s="59" t="str">
        <f>IF(OR(COUNT('Start List'!A:A)+2='Men-Women'!A55,A55=""),"",'Men-Women'!A55+1)</f>
        <v/>
      </c>
      <c r="B56" s="228" t="str">
        <f>IF(A56="","",IF(COUNTIF($B$9:B55,$B$9)-1=COUNTIF('Start List'!C:C,"&gt;999"),'Start List'!$J$10,'Start List'!$J$9))</f>
        <v/>
      </c>
      <c r="C56" s="75" t="str">
        <f>IF(OR(B56="",COUNTIF($B$9:B56,B56)=1),"",COUNTIF($B$9:B56,B56)-1)</f>
        <v/>
      </c>
      <c r="D56" s="227" t="str">
        <f>IF(""=C56,"",IF(COUNTIF($D$9:D55,"")=2,LARGE('Start List'!C:C,A54),LARGE('Start List'!C:C,A55)))</f>
        <v/>
      </c>
      <c r="E56" s="79" t="str">
        <f>IF(C56="","",VLOOKUP(B56,Data!$AK$2:$AN$7,4,FALSE)&amp;C56)</f>
        <v/>
      </c>
      <c r="F56" s="80" t="str">
        <f>IF(COUNTIF(Data!$D$2:$D$97,'Men-Women'!$E56)=0,"",VLOOKUP('Men-Women'!$E56,Data!$D$2:$H$97,'Men-Women'!F$8,FALSE))</f>
        <v/>
      </c>
      <c r="G56" s="80" t="str">
        <f>IF(COUNTIF(Data!$D$2:$D$97,'Men-Women'!$E56)=0,"",VLOOKUP('Men-Women'!$E56,Data!$D$2:$H$97,'Men-Women'!G$8,FALSE))</f>
        <v/>
      </c>
      <c r="H56" s="80" t="str">
        <f>IF(COUNTIF(Data!$D$2:$D$97,'Men-Women'!$E56)=0,"",VLOOKUP('Men-Women'!$E56,Data!$D$2:$H$97,'Men-Women'!H$8,FALSE))</f>
        <v/>
      </c>
      <c r="I56" s="80" t="str">
        <f>IF(COUNTIF(Data!$D$2:$D$97,'Men-Women'!$E56)=0,"",VLOOKUP('Men-Women'!$E56,Data!$D$2:$H$97,'Men-Women'!I$8,FALSE))</f>
        <v/>
      </c>
      <c r="J56" s="77" t="str">
        <f>IF(B56&lt;&gt;B55,B56,IF($D56="","",INDEX('Start List'!$D$15:$D$139,MATCH($D56,'Start List'!$C$15:$C$139,0))))</f>
        <v/>
      </c>
      <c r="K56" s="77" t="str">
        <f>IF($D56="","",INDEX('Start List'!$E$15:$E$139,MATCH($D56,'Start List'!$C$15:$C$139,0)))</f>
        <v/>
      </c>
      <c r="L56" s="77" t="str">
        <f>IF($D56="","",INDEX('Start List'!$H$15:$H$139,MATCH($D56,'Start List'!$C$15:$C$139,0)))</f>
        <v/>
      </c>
      <c r="M56" s="79" t="str">
        <f>IF($D56="","",INDEX('Start List'!$F$15:$F$139,MATCH($D56,'Start List'!$C$15:$C$139,0)))</f>
        <v/>
      </c>
      <c r="N56" s="80" t="str">
        <f>IF($D56="","",INDEX('Start List'!K$15:K$139,MATCH($D56,'Start List'!$C$15:$C$139,0)))</f>
        <v/>
      </c>
      <c r="O56" s="80" t="str">
        <f>IF($D56="","",INDEX('Start List'!L$15:L$139,MATCH($D56,'Start List'!$C$15:$C$139,0)))</f>
        <v/>
      </c>
      <c r="P56" s="80" t="str">
        <f>IF($D56="","",INDEX('Start List'!M$15:M$139,MATCH($D56,'Start List'!$C$15:$C$139,0)))</f>
        <v/>
      </c>
      <c r="Q56" s="80" t="str">
        <f>IF($D56="","",INDEX('Start List'!N$15:N$139,MATCH($D56,'Start List'!$C$15:$C$139,0)))</f>
        <v/>
      </c>
      <c r="R56" s="80" t="str">
        <f>IF($D56="","",INDEX('Start List'!O$15:O$139,MATCH($D56,'Start List'!$C$15:$C$139,0)))</f>
        <v/>
      </c>
      <c r="S56" s="80" t="str">
        <f>IF($D56="","",INDEX('Start List'!P$15:P$139,MATCH($D56,'Start List'!$C$15:$C$139,0)))</f>
        <v/>
      </c>
      <c r="T56" s="80" t="str">
        <f>IF($D56="","",INDEX('Start List'!Q$15:Q$139,MATCH($D56,'Start List'!$C$15:$C$139,0)))</f>
        <v/>
      </c>
      <c r="U56" s="80" t="str">
        <f>IF($D56="","",INDEX('Start List'!R$15:R$139,MATCH($D56,'Start List'!$C$15:$C$139,0)))</f>
        <v/>
      </c>
      <c r="V56" s="80" t="str">
        <f>IF($D56="","",INDEX('Start List'!S$15:S$139,MATCH($D56,'Start List'!$C$15:$C$139,0)))</f>
        <v/>
      </c>
      <c r="W56" s="80" t="str">
        <f>IF($D56="","",INDEX('Start List'!T$15:T$139,MATCH($D56,'Start List'!$C$15:$C$139,0)))</f>
        <v/>
      </c>
      <c r="X56" s="80" t="str">
        <f>IF($D56="","",INDEX('Start List'!U$15:U$139,MATCH($D56,'Start List'!$C$15:$C$139,0)))</f>
        <v/>
      </c>
      <c r="Y56" s="80" t="str">
        <f>IF($D56="","",INDEX('Start List'!V$15:V$139,MATCH($D56,'Start List'!$C$15:$C$139,0)))</f>
        <v/>
      </c>
      <c r="Z56" s="80" t="str">
        <f>IF($D56="","",INDEX('Start List'!W$15:W$139,MATCH($D56,'Start List'!$C$15:$C$139,0)))</f>
        <v/>
      </c>
      <c r="AA56" s="80" t="str">
        <f>IF($D56="","",INDEX('Start List'!X$15:X$139,MATCH($D56,'Start List'!$C$15:$C$139,0)))</f>
        <v/>
      </c>
      <c r="AB56" s="80" t="str">
        <f>IF($D56="","",INDEX('Start List'!Y$15:Y$139,MATCH($D56,'Start List'!$C$15:$C$139,0)))</f>
        <v/>
      </c>
    </row>
    <row r="57" spans="1:28" ht="12.75" customHeight="1" x14ac:dyDescent="0.2">
      <c r="A57" s="59" t="str">
        <f>IF(OR(COUNT('Start List'!A:A)+2='Men-Women'!A56,A56=""),"",'Men-Women'!A56+1)</f>
        <v/>
      </c>
      <c r="B57" s="228" t="str">
        <f>IF(A57="","",IF(COUNTIF($B$9:B56,$B$9)-1=COUNTIF('Start List'!C:C,"&gt;999"),'Start List'!$J$10,'Start List'!$J$9))</f>
        <v/>
      </c>
      <c r="C57" s="75" t="str">
        <f>IF(OR(B57="",COUNTIF($B$9:B57,B57)=1),"",COUNTIF($B$9:B57,B57)-1)</f>
        <v/>
      </c>
      <c r="D57" s="227" t="str">
        <f>IF(""=C57,"",IF(COUNTIF($D$9:D56,"")=2,LARGE('Start List'!C:C,A55),LARGE('Start List'!C:C,A56)))</f>
        <v/>
      </c>
      <c r="E57" s="79" t="str">
        <f>IF(C57="","",VLOOKUP(B57,Data!$AK$2:$AN$7,4,FALSE)&amp;C57)</f>
        <v/>
      </c>
      <c r="F57" s="80" t="str">
        <f>IF(COUNTIF(Data!$D$2:$D$97,'Men-Women'!$E57)=0,"",VLOOKUP('Men-Women'!$E57,Data!$D$2:$H$97,'Men-Women'!F$8,FALSE))</f>
        <v/>
      </c>
      <c r="G57" s="80" t="str">
        <f>IF(COUNTIF(Data!$D$2:$D$97,'Men-Women'!$E57)=0,"",VLOOKUP('Men-Women'!$E57,Data!$D$2:$H$97,'Men-Women'!G$8,FALSE))</f>
        <v/>
      </c>
      <c r="H57" s="80" t="str">
        <f>IF(COUNTIF(Data!$D$2:$D$97,'Men-Women'!$E57)=0,"",VLOOKUP('Men-Women'!$E57,Data!$D$2:$H$97,'Men-Women'!H$8,FALSE))</f>
        <v/>
      </c>
      <c r="I57" s="80" t="str">
        <f>IF(COUNTIF(Data!$D$2:$D$97,'Men-Women'!$E57)=0,"",VLOOKUP('Men-Women'!$E57,Data!$D$2:$H$97,'Men-Women'!I$8,FALSE))</f>
        <v/>
      </c>
      <c r="J57" s="77" t="str">
        <f>IF(B57&lt;&gt;B56,B57,IF($D57="","",INDEX('Start List'!$D$15:$D$139,MATCH($D57,'Start List'!$C$15:$C$139,0))))</f>
        <v/>
      </c>
      <c r="K57" s="77" t="str">
        <f>IF($D57="","",INDEX('Start List'!$E$15:$E$139,MATCH($D57,'Start List'!$C$15:$C$139,0)))</f>
        <v/>
      </c>
      <c r="L57" s="77" t="str">
        <f>IF($D57="","",INDEX('Start List'!$H$15:$H$139,MATCH($D57,'Start List'!$C$15:$C$139,0)))</f>
        <v/>
      </c>
      <c r="M57" s="79" t="str">
        <f>IF($D57="","",INDEX('Start List'!$F$15:$F$139,MATCH($D57,'Start List'!$C$15:$C$139,0)))</f>
        <v/>
      </c>
      <c r="N57" s="80" t="str">
        <f>IF($D57="","",INDEX('Start List'!K$15:K$139,MATCH($D57,'Start List'!$C$15:$C$139,0)))</f>
        <v/>
      </c>
      <c r="O57" s="80" t="str">
        <f>IF($D57="","",INDEX('Start List'!L$15:L$139,MATCH($D57,'Start List'!$C$15:$C$139,0)))</f>
        <v/>
      </c>
      <c r="P57" s="80" t="str">
        <f>IF($D57="","",INDEX('Start List'!M$15:M$139,MATCH($D57,'Start List'!$C$15:$C$139,0)))</f>
        <v/>
      </c>
      <c r="Q57" s="80" t="str">
        <f>IF($D57="","",INDEX('Start List'!N$15:N$139,MATCH($D57,'Start List'!$C$15:$C$139,0)))</f>
        <v/>
      </c>
      <c r="R57" s="80" t="str">
        <f>IF($D57="","",INDEX('Start List'!O$15:O$139,MATCH($D57,'Start List'!$C$15:$C$139,0)))</f>
        <v/>
      </c>
      <c r="S57" s="80" t="str">
        <f>IF($D57="","",INDEX('Start List'!P$15:P$139,MATCH($D57,'Start List'!$C$15:$C$139,0)))</f>
        <v/>
      </c>
      <c r="T57" s="80" t="str">
        <f>IF($D57="","",INDEX('Start List'!Q$15:Q$139,MATCH($D57,'Start List'!$C$15:$C$139,0)))</f>
        <v/>
      </c>
      <c r="U57" s="80" t="str">
        <f>IF($D57="","",INDEX('Start List'!R$15:R$139,MATCH($D57,'Start List'!$C$15:$C$139,0)))</f>
        <v/>
      </c>
      <c r="V57" s="80" t="str">
        <f>IF($D57="","",INDEX('Start List'!S$15:S$139,MATCH($D57,'Start List'!$C$15:$C$139,0)))</f>
        <v/>
      </c>
      <c r="W57" s="80" t="str">
        <f>IF($D57="","",INDEX('Start List'!T$15:T$139,MATCH($D57,'Start List'!$C$15:$C$139,0)))</f>
        <v/>
      </c>
      <c r="X57" s="80" t="str">
        <f>IF($D57="","",INDEX('Start List'!U$15:U$139,MATCH($D57,'Start List'!$C$15:$C$139,0)))</f>
        <v/>
      </c>
      <c r="Y57" s="80" t="str">
        <f>IF($D57="","",INDEX('Start List'!V$15:V$139,MATCH($D57,'Start List'!$C$15:$C$139,0)))</f>
        <v/>
      </c>
      <c r="Z57" s="80" t="str">
        <f>IF($D57="","",INDEX('Start List'!W$15:W$139,MATCH($D57,'Start List'!$C$15:$C$139,0)))</f>
        <v/>
      </c>
      <c r="AA57" s="80" t="str">
        <f>IF($D57="","",INDEX('Start List'!X$15:X$139,MATCH($D57,'Start List'!$C$15:$C$139,0)))</f>
        <v/>
      </c>
      <c r="AB57" s="80" t="str">
        <f>IF($D57="","",INDEX('Start List'!Y$15:Y$139,MATCH($D57,'Start List'!$C$15:$C$139,0)))</f>
        <v/>
      </c>
    </row>
    <row r="58" spans="1:28" ht="12.75" customHeight="1" x14ac:dyDescent="0.2">
      <c r="A58" s="59" t="str">
        <f>IF(OR(COUNT('Start List'!A:A)+2='Men-Women'!A57,A57=""),"",'Men-Women'!A57+1)</f>
        <v/>
      </c>
      <c r="B58" s="228" t="str">
        <f>IF(A58="","",IF(COUNTIF($B$9:B57,$B$9)-1=COUNTIF('Start List'!C:C,"&gt;999"),'Start List'!$J$10,'Start List'!$J$9))</f>
        <v/>
      </c>
      <c r="C58" s="75" t="str">
        <f>IF(OR(B58="",COUNTIF($B$9:B58,B58)=1),"",COUNTIF($B$9:B58,B58)-1)</f>
        <v/>
      </c>
      <c r="D58" s="227" t="str">
        <f>IF(""=C58,"",IF(COUNTIF($D$9:D57,"")=2,LARGE('Start List'!C:C,A56),LARGE('Start List'!C:C,A57)))</f>
        <v/>
      </c>
      <c r="E58" s="79" t="str">
        <f>IF(C58="","",VLOOKUP(B58,Data!$AK$2:$AN$7,4,FALSE)&amp;C58)</f>
        <v/>
      </c>
      <c r="F58" s="80" t="str">
        <f>IF(COUNTIF(Data!$D$2:$D$97,'Men-Women'!$E58)=0,"",VLOOKUP('Men-Women'!$E58,Data!$D$2:$H$97,'Men-Women'!F$8,FALSE))</f>
        <v/>
      </c>
      <c r="G58" s="80" t="str">
        <f>IF(COUNTIF(Data!$D$2:$D$97,'Men-Women'!$E58)=0,"",VLOOKUP('Men-Women'!$E58,Data!$D$2:$H$97,'Men-Women'!G$8,FALSE))</f>
        <v/>
      </c>
      <c r="H58" s="80" t="str">
        <f>IF(COUNTIF(Data!$D$2:$D$97,'Men-Women'!$E58)=0,"",VLOOKUP('Men-Women'!$E58,Data!$D$2:$H$97,'Men-Women'!H$8,FALSE))</f>
        <v/>
      </c>
      <c r="I58" s="80" t="str">
        <f>IF(COUNTIF(Data!$D$2:$D$97,'Men-Women'!$E58)=0,"",VLOOKUP('Men-Women'!$E58,Data!$D$2:$H$97,'Men-Women'!I$8,FALSE))</f>
        <v/>
      </c>
      <c r="J58" s="77" t="str">
        <f>IF(B58&lt;&gt;B57,B58,IF($D58="","",INDEX('Start List'!$D$15:$D$139,MATCH($D58,'Start List'!$C$15:$C$139,0))))</f>
        <v/>
      </c>
      <c r="K58" s="77" t="str">
        <f>IF($D58="","",INDEX('Start List'!$E$15:$E$139,MATCH($D58,'Start List'!$C$15:$C$139,0)))</f>
        <v/>
      </c>
      <c r="L58" s="77" t="str">
        <f>IF($D58="","",INDEX('Start List'!$H$15:$H$139,MATCH($D58,'Start List'!$C$15:$C$139,0)))</f>
        <v/>
      </c>
      <c r="M58" s="79" t="str">
        <f>IF($D58="","",INDEX('Start List'!$F$15:$F$139,MATCH($D58,'Start List'!$C$15:$C$139,0)))</f>
        <v/>
      </c>
      <c r="N58" s="80" t="str">
        <f>IF($D58="","",INDEX('Start List'!K$15:K$139,MATCH($D58,'Start List'!$C$15:$C$139,0)))</f>
        <v/>
      </c>
      <c r="O58" s="80" t="str">
        <f>IF($D58="","",INDEX('Start List'!L$15:L$139,MATCH($D58,'Start List'!$C$15:$C$139,0)))</f>
        <v/>
      </c>
      <c r="P58" s="80" t="str">
        <f>IF($D58="","",INDEX('Start List'!M$15:M$139,MATCH($D58,'Start List'!$C$15:$C$139,0)))</f>
        <v/>
      </c>
      <c r="Q58" s="80" t="str">
        <f>IF($D58="","",INDEX('Start List'!N$15:N$139,MATCH($D58,'Start List'!$C$15:$C$139,0)))</f>
        <v/>
      </c>
      <c r="R58" s="80" t="str">
        <f>IF($D58="","",INDEX('Start List'!O$15:O$139,MATCH($D58,'Start List'!$C$15:$C$139,0)))</f>
        <v/>
      </c>
      <c r="S58" s="80" t="str">
        <f>IF($D58="","",INDEX('Start List'!P$15:P$139,MATCH($D58,'Start List'!$C$15:$C$139,0)))</f>
        <v/>
      </c>
      <c r="T58" s="80" t="str">
        <f>IF($D58="","",INDEX('Start List'!Q$15:Q$139,MATCH($D58,'Start List'!$C$15:$C$139,0)))</f>
        <v/>
      </c>
      <c r="U58" s="80" t="str">
        <f>IF($D58="","",INDEX('Start List'!R$15:R$139,MATCH($D58,'Start List'!$C$15:$C$139,0)))</f>
        <v/>
      </c>
      <c r="V58" s="80" t="str">
        <f>IF($D58="","",INDEX('Start List'!S$15:S$139,MATCH($D58,'Start List'!$C$15:$C$139,0)))</f>
        <v/>
      </c>
      <c r="W58" s="80" t="str">
        <f>IF($D58="","",INDEX('Start List'!T$15:T$139,MATCH($D58,'Start List'!$C$15:$C$139,0)))</f>
        <v/>
      </c>
      <c r="X58" s="80" t="str">
        <f>IF($D58="","",INDEX('Start List'!U$15:U$139,MATCH($D58,'Start List'!$C$15:$C$139,0)))</f>
        <v/>
      </c>
      <c r="Y58" s="80" t="str">
        <f>IF($D58="","",INDEX('Start List'!V$15:V$139,MATCH($D58,'Start List'!$C$15:$C$139,0)))</f>
        <v/>
      </c>
      <c r="Z58" s="80" t="str">
        <f>IF($D58="","",INDEX('Start List'!W$15:W$139,MATCH($D58,'Start List'!$C$15:$C$139,0)))</f>
        <v/>
      </c>
      <c r="AA58" s="80" t="str">
        <f>IF($D58="","",INDEX('Start List'!X$15:X$139,MATCH($D58,'Start List'!$C$15:$C$139,0)))</f>
        <v/>
      </c>
      <c r="AB58" s="80" t="str">
        <f>IF($D58="","",INDEX('Start List'!Y$15:Y$139,MATCH($D58,'Start List'!$C$15:$C$139,0)))</f>
        <v/>
      </c>
    </row>
    <row r="59" spans="1:28" ht="12.75" customHeight="1" x14ac:dyDescent="0.2">
      <c r="A59" s="59" t="str">
        <f>IF(OR(COUNT('Start List'!A:A)+2='Men-Women'!A58,A58=""),"",'Men-Women'!A58+1)</f>
        <v/>
      </c>
      <c r="B59" s="228" t="str">
        <f>IF(A59="","",IF(COUNTIF($B$9:B58,$B$9)-1=COUNTIF('Start List'!C:C,"&gt;999"),'Start List'!$J$10,'Start List'!$J$9))</f>
        <v/>
      </c>
      <c r="C59" s="75" t="str">
        <f>IF(OR(B59="",COUNTIF($B$9:B59,B59)=1),"",COUNTIF($B$9:B59,B59)-1)</f>
        <v/>
      </c>
      <c r="D59" s="227" t="str">
        <f>IF(""=C59,"",IF(COUNTIF($D$9:D58,"")=2,LARGE('Start List'!C:C,A57),LARGE('Start List'!C:C,A58)))</f>
        <v/>
      </c>
      <c r="E59" s="79" t="str">
        <f>IF(C59="","",VLOOKUP(B59,Data!$AK$2:$AN$7,4,FALSE)&amp;C59)</f>
        <v/>
      </c>
      <c r="F59" s="80" t="str">
        <f>IF(COUNTIF(Data!$D$2:$D$97,'Men-Women'!$E59)=0,"",VLOOKUP('Men-Women'!$E59,Data!$D$2:$H$97,'Men-Women'!F$8,FALSE))</f>
        <v/>
      </c>
      <c r="G59" s="80" t="str">
        <f>IF(COUNTIF(Data!$D$2:$D$97,'Men-Women'!$E59)=0,"",VLOOKUP('Men-Women'!$E59,Data!$D$2:$H$97,'Men-Women'!G$8,FALSE))</f>
        <v/>
      </c>
      <c r="H59" s="80" t="str">
        <f>IF(COUNTIF(Data!$D$2:$D$97,'Men-Women'!$E59)=0,"",VLOOKUP('Men-Women'!$E59,Data!$D$2:$H$97,'Men-Women'!H$8,FALSE))</f>
        <v/>
      </c>
      <c r="I59" s="80" t="str">
        <f>IF(COUNTIF(Data!$D$2:$D$97,'Men-Women'!$E59)=0,"",VLOOKUP('Men-Women'!$E59,Data!$D$2:$H$97,'Men-Women'!I$8,FALSE))</f>
        <v/>
      </c>
      <c r="J59" s="77" t="str">
        <f>IF(B59&lt;&gt;B58,B59,IF($D59="","",INDEX('Start List'!$D$15:$D$139,MATCH($D59,'Start List'!$C$15:$C$139,0))))</f>
        <v/>
      </c>
      <c r="K59" s="77" t="str">
        <f>IF($D59="","",INDEX('Start List'!$E$15:$E$139,MATCH($D59,'Start List'!$C$15:$C$139,0)))</f>
        <v/>
      </c>
      <c r="L59" s="77" t="str">
        <f>IF($D59="","",INDEX('Start List'!$H$15:$H$139,MATCH($D59,'Start List'!$C$15:$C$139,0)))</f>
        <v/>
      </c>
      <c r="M59" s="79" t="str">
        <f>IF($D59="","",INDEX('Start List'!$F$15:$F$139,MATCH($D59,'Start List'!$C$15:$C$139,0)))</f>
        <v/>
      </c>
      <c r="N59" s="80" t="str">
        <f>IF($D59="","",INDEX('Start List'!K$15:K$139,MATCH($D59,'Start List'!$C$15:$C$139,0)))</f>
        <v/>
      </c>
      <c r="O59" s="80" t="str">
        <f>IF($D59="","",INDEX('Start List'!L$15:L$139,MATCH($D59,'Start List'!$C$15:$C$139,0)))</f>
        <v/>
      </c>
      <c r="P59" s="80" t="str">
        <f>IF($D59="","",INDEX('Start List'!M$15:M$139,MATCH($D59,'Start List'!$C$15:$C$139,0)))</f>
        <v/>
      </c>
      <c r="Q59" s="80" t="str">
        <f>IF($D59="","",INDEX('Start List'!N$15:N$139,MATCH($D59,'Start List'!$C$15:$C$139,0)))</f>
        <v/>
      </c>
      <c r="R59" s="80" t="str">
        <f>IF($D59="","",INDEX('Start List'!O$15:O$139,MATCH($D59,'Start List'!$C$15:$C$139,0)))</f>
        <v/>
      </c>
      <c r="S59" s="80" t="str">
        <f>IF($D59="","",INDEX('Start List'!P$15:P$139,MATCH($D59,'Start List'!$C$15:$C$139,0)))</f>
        <v/>
      </c>
      <c r="T59" s="80" t="str">
        <f>IF($D59="","",INDEX('Start List'!Q$15:Q$139,MATCH($D59,'Start List'!$C$15:$C$139,0)))</f>
        <v/>
      </c>
      <c r="U59" s="80" t="str">
        <f>IF($D59="","",INDEX('Start List'!R$15:R$139,MATCH($D59,'Start List'!$C$15:$C$139,0)))</f>
        <v/>
      </c>
      <c r="V59" s="80" t="str">
        <f>IF($D59="","",INDEX('Start List'!S$15:S$139,MATCH($D59,'Start List'!$C$15:$C$139,0)))</f>
        <v/>
      </c>
      <c r="W59" s="80" t="str">
        <f>IF($D59="","",INDEX('Start List'!T$15:T$139,MATCH($D59,'Start List'!$C$15:$C$139,0)))</f>
        <v/>
      </c>
      <c r="X59" s="80" t="str">
        <f>IF($D59="","",INDEX('Start List'!U$15:U$139,MATCH($D59,'Start List'!$C$15:$C$139,0)))</f>
        <v/>
      </c>
      <c r="Y59" s="80" t="str">
        <f>IF($D59="","",INDEX('Start List'!V$15:V$139,MATCH($D59,'Start List'!$C$15:$C$139,0)))</f>
        <v/>
      </c>
      <c r="Z59" s="80" t="str">
        <f>IF($D59="","",INDEX('Start List'!W$15:W$139,MATCH($D59,'Start List'!$C$15:$C$139,0)))</f>
        <v/>
      </c>
      <c r="AA59" s="80" t="str">
        <f>IF($D59="","",INDEX('Start List'!X$15:X$139,MATCH($D59,'Start List'!$C$15:$C$139,0)))</f>
        <v/>
      </c>
      <c r="AB59" s="80" t="str">
        <f>IF($D59="","",INDEX('Start List'!Y$15:Y$139,MATCH($D59,'Start List'!$C$15:$C$139,0)))</f>
        <v/>
      </c>
    </row>
    <row r="60" spans="1:28" ht="12.75" customHeight="1" x14ac:dyDescent="0.2">
      <c r="A60" s="59" t="str">
        <f>IF(OR(COUNT('Start List'!A:A)+2='Men-Women'!A59,A59=""),"",'Men-Women'!A59+1)</f>
        <v/>
      </c>
      <c r="B60" s="228" t="str">
        <f>IF(A60="","",IF(COUNTIF($B$9:B59,$B$9)-1=COUNTIF('Start List'!C:C,"&gt;999"),'Start List'!$J$10,'Start List'!$J$9))</f>
        <v/>
      </c>
      <c r="C60" s="75" t="str">
        <f>IF(OR(B60="",COUNTIF($B$9:B60,B60)=1),"",COUNTIF($B$9:B60,B60)-1)</f>
        <v/>
      </c>
      <c r="D60" s="227" t="str">
        <f>IF(""=C60,"",IF(COUNTIF($D$9:D59,"")=2,LARGE('Start List'!C:C,A58),LARGE('Start List'!C:C,A59)))</f>
        <v/>
      </c>
      <c r="E60" s="79" t="str">
        <f>IF(C60="","",VLOOKUP(B60,Data!$AK$2:$AN$7,4,FALSE)&amp;C60)</f>
        <v/>
      </c>
      <c r="F60" s="80" t="str">
        <f>IF(COUNTIF(Data!$D$2:$D$97,'Men-Women'!$E60)=0,"",VLOOKUP('Men-Women'!$E60,Data!$D$2:$H$97,'Men-Women'!F$8,FALSE))</f>
        <v/>
      </c>
      <c r="G60" s="80" t="str">
        <f>IF(COUNTIF(Data!$D$2:$D$97,'Men-Women'!$E60)=0,"",VLOOKUP('Men-Women'!$E60,Data!$D$2:$H$97,'Men-Women'!G$8,FALSE))</f>
        <v/>
      </c>
      <c r="H60" s="80" t="str">
        <f>IF(COUNTIF(Data!$D$2:$D$97,'Men-Women'!$E60)=0,"",VLOOKUP('Men-Women'!$E60,Data!$D$2:$H$97,'Men-Women'!H$8,FALSE))</f>
        <v/>
      </c>
      <c r="I60" s="80" t="str">
        <f>IF(COUNTIF(Data!$D$2:$D$97,'Men-Women'!$E60)=0,"",VLOOKUP('Men-Women'!$E60,Data!$D$2:$H$97,'Men-Women'!I$8,FALSE))</f>
        <v/>
      </c>
      <c r="J60" s="77" t="str">
        <f>IF(B60&lt;&gt;B59,B60,IF($D60="","",INDEX('Start List'!$D$15:$D$139,MATCH($D60,'Start List'!$C$15:$C$139,0))))</f>
        <v/>
      </c>
      <c r="K60" s="77" t="str">
        <f>IF($D60="","",INDEX('Start List'!$E$15:$E$139,MATCH($D60,'Start List'!$C$15:$C$139,0)))</f>
        <v/>
      </c>
      <c r="L60" s="77" t="str">
        <f>IF($D60="","",INDEX('Start List'!$H$15:$H$139,MATCH($D60,'Start List'!$C$15:$C$139,0)))</f>
        <v/>
      </c>
      <c r="M60" s="79" t="str">
        <f>IF($D60="","",INDEX('Start List'!$F$15:$F$139,MATCH($D60,'Start List'!$C$15:$C$139,0)))</f>
        <v/>
      </c>
      <c r="N60" s="80" t="str">
        <f>IF($D60="","",INDEX('Start List'!K$15:K$139,MATCH($D60,'Start List'!$C$15:$C$139,0)))</f>
        <v/>
      </c>
      <c r="O60" s="80" t="str">
        <f>IF($D60="","",INDEX('Start List'!L$15:L$139,MATCH($D60,'Start List'!$C$15:$C$139,0)))</f>
        <v/>
      </c>
      <c r="P60" s="80" t="str">
        <f>IF($D60="","",INDEX('Start List'!M$15:M$139,MATCH($D60,'Start List'!$C$15:$C$139,0)))</f>
        <v/>
      </c>
      <c r="Q60" s="80" t="str">
        <f>IF($D60="","",INDEX('Start List'!N$15:N$139,MATCH($D60,'Start List'!$C$15:$C$139,0)))</f>
        <v/>
      </c>
      <c r="R60" s="80" t="str">
        <f>IF($D60="","",INDEX('Start List'!O$15:O$139,MATCH($D60,'Start List'!$C$15:$C$139,0)))</f>
        <v/>
      </c>
      <c r="S60" s="80" t="str">
        <f>IF($D60="","",INDEX('Start List'!P$15:P$139,MATCH($D60,'Start List'!$C$15:$C$139,0)))</f>
        <v/>
      </c>
      <c r="T60" s="80" t="str">
        <f>IF($D60="","",INDEX('Start List'!Q$15:Q$139,MATCH($D60,'Start List'!$C$15:$C$139,0)))</f>
        <v/>
      </c>
      <c r="U60" s="80" t="str">
        <f>IF($D60="","",INDEX('Start List'!R$15:R$139,MATCH($D60,'Start List'!$C$15:$C$139,0)))</f>
        <v/>
      </c>
      <c r="V60" s="80" t="str">
        <f>IF($D60="","",INDEX('Start List'!S$15:S$139,MATCH($D60,'Start List'!$C$15:$C$139,0)))</f>
        <v/>
      </c>
      <c r="W60" s="80" t="str">
        <f>IF($D60="","",INDEX('Start List'!T$15:T$139,MATCH($D60,'Start List'!$C$15:$C$139,0)))</f>
        <v/>
      </c>
      <c r="X60" s="80" t="str">
        <f>IF($D60="","",INDEX('Start List'!U$15:U$139,MATCH($D60,'Start List'!$C$15:$C$139,0)))</f>
        <v/>
      </c>
      <c r="Y60" s="80" t="str">
        <f>IF($D60="","",INDEX('Start List'!V$15:V$139,MATCH($D60,'Start List'!$C$15:$C$139,0)))</f>
        <v/>
      </c>
      <c r="Z60" s="80" t="str">
        <f>IF($D60="","",INDEX('Start List'!W$15:W$139,MATCH($D60,'Start List'!$C$15:$C$139,0)))</f>
        <v/>
      </c>
      <c r="AA60" s="80" t="str">
        <f>IF($D60="","",INDEX('Start List'!X$15:X$139,MATCH($D60,'Start List'!$C$15:$C$139,0)))</f>
        <v/>
      </c>
      <c r="AB60" s="80" t="str">
        <f>IF($D60="","",INDEX('Start List'!Y$15:Y$139,MATCH($D60,'Start List'!$C$15:$C$139,0)))</f>
        <v/>
      </c>
    </row>
    <row r="61" spans="1:28" ht="12.75" customHeight="1" x14ac:dyDescent="0.2">
      <c r="A61" s="59" t="str">
        <f>IF(OR(COUNT('Start List'!A:A)+2='Men-Women'!A60,A60=""),"",'Men-Women'!A60+1)</f>
        <v/>
      </c>
      <c r="B61" s="228" t="str">
        <f>IF(A61="","",IF(COUNTIF($B$9:B60,$B$9)-1=COUNTIF('Start List'!C:C,"&gt;999"),'Start List'!$J$10,'Start List'!$J$9))</f>
        <v/>
      </c>
      <c r="C61" s="75" t="str">
        <f>IF(OR(B61="",COUNTIF($B$9:B61,B61)=1),"",COUNTIF($B$9:B61,B61)-1)</f>
        <v/>
      </c>
      <c r="D61" s="227" t="str">
        <f>IF(""=C61,"",IF(COUNTIF($D$9:D60,"")=2,LARGE('Start List'!C:C,A59),LARGE('Start List'!C:C,A60)))</f>
        <v/>
      </c>
      <c r="E61" s="79" t="str">
        <f>IF(C61="","",VLOOKUP(B61,Data!$AK$2:$AN$7,4,FALSE)&amp;C61)</f>
        <v/>
      </c>
      <c r="F61" s="80" t="str">
        <f>IF(COUNTIF(Data!$D$2:$D$97,'Men-Women'!$E61)=0,"",VLOOKUP('Men-Women'!$E61,Data!$D$2:$H$97,'Men-Women'!F$8,FALSE))</f>
        <v/>
      </c>
      <c r="G61" s="80" t="str">
        <f>IF(COUNTIF(Data!$D$2:$D$97,'Men-Women'!$E61)=0,"",VLOOKUP('Men-Women'!$E61,Data!$D$2:$H$97,'Men-Women'!G$8,FALSE))</f>
        <v/>
      </c>
      <c r="H61" s="80" t="str">
        <f>IF(COUNTIF(Data!$D$2:$D$97,'Men-Women'!$E61)=0,"",VLOOKUP('Men-Women'!$E61,Data!$D$2:$H$97,'Men-Women'!H$8,FALSE))</f>
        <v/>
      </c>
      <c r="I61" s="80" t="str">
        <f>IF(COUNTIF(Data!$D$2:$D$97,'Men-Women'!$E61)=0,"",VLOOKUP('Men-Women'!$E61,Data!$D$2:$H$97,'Men-Women'!I$8,FALSE))</f>
        <v/>
      </c>
      <c r="J61" s="77" t="str">
        <f>IF(B61&lt;&gt;B60,B61,IF($D61="","",INDEX('Start List'!$D$15:$D$139,MATCH($D61,'Start List'!$C$15:$C$139,0))))</f>
        <v/>
      </c>
      <c r="K61" s="77" t="str">
        <f>IF($D61="","",INDEX('Start List'!$E$15:$E$139,MATCH($D61,'Start List'!$C$15:$C$139,0)))</f>
        <v/>
      </c>
      <c r="L61" s="77" t="str">
        <f>IF($D61="","",INDEX('Start List'!$H$15:$H$139,MATCH($D61,'Start List'!$C$15:$C$139,0)))</f>
        <v/>
      </c>
      <c r="M61" s="79" t="str">
        <f>IF($D61="","",INDEX('Start List'!$F$15:$F$139,MATCH($D61,'Start List'!$C$15:$C$139,0)))</f>
        <v/>
      </c>
      <c r="N61" s="80" t="str">
        <f>IF($D61="","",INDEX('Start List'!K$15:K$139,MATCH($D61,'Start List'!$C$15:$C$139,0)))</f>
        <v/>
      </c>
      <c r="O61" s="80" t="str">
        <f>IF($D61="","",INDEX('Start List'!L$15:L$139,MATCH($D61,'Start List'!$C$15:$C$139,0)))</f>
        <v/>
      </c>
      <c r="P61" s="80" t="str">
        <f>IF($D61="","",INDEX('Start List'!M$15:M$139,MATCH($D61,'Start List'!$C$15:$C$139,0)))</f>
        <v/>
      </c>
      <c r="Q61" s="80" t="str">
        <f>IF($D61="","",INDEX('Start List'!N$15:N$139,MATCH($D61,'Start List'!$C$15:$C$139,0)))</f>
        <v/>
      </c>
      <c r="R61" s="80" t="str">
        <f>IF($D61="","",INDEX('Start List'!O$15:O$139,MATCH($D61,'Start List'!$C$15:$C$139,0)))</f>
        <v/>
      </c>
      <c r="S61" s="80" t="str">
        <f>IF($D61="","",INDEX('Start List'!P$15:P$139,MATCH($D61,'Start List'!$C$15:$C$139,0)))</f>
        <v/>
      </c>
      <c r="T61" s="80" t="str">
        <f>IF($D61="","",INDEX('Start List'!Q$15:Q$139,MATCH($D61,'Start List'!$C$15:$C$139,0)))</f>
        <v/>
      </c>
      <c r="U61" s="80" t="str">
        <f>IF($D61="","",INDEX('Start List'!R$15:R$139,MATCH($D61,'Start List'!$C$15:$C$139,0)))</f>
        <v/>
      </c>
      <c r="V61" s="80" t="str">
        <f>IF($D61="","",INDEX('Start List'!S$15:S$139,MATCH($D61,'Start List'!$C$15:$C$139,0)))</f>
        <v/>
      </c>
      <c r="W61" s="80" t="str">
        <f>IF($D61="","",INDEX('Start List'!T$15:T$139,MATCH($D61,'Start List'!$C$15:$C$139,0)))</f>
        <v/>
      </c>
      <c r="X61" s="80" t="str">
        <f>IF($D61="","",INDEX('Start List'!U$15:U$139,MATCH($D61,'Start List'!$C$15:$C$139,0)))</f>
        <v/>
      </c>
      <c r="Y61" s="80" t="str">
        <f>IF($D61="","",INDEX('Start List'!V$15:V$139,MATCH($D61,'Start List'!$C$15:$C$139,0)))</f>
        <v/>
      </c>
      <c r="Z61" s="80" t="str">
        <f>IF($D61="","",INDEX('Start List'!W$15:W$139,MATCH($D61,'Start List'!$C$15:$C$139,0)))</f>
        <v/>
      </c>
      <c r="AA61" s="80" t="str">
        <f>IF($D61="","",INDEX('Start List'!X$15:X$139,MATCH($D61,'Start List'!$C$15:$C$139,0)))</f>
        <v/>
      </c>
      <c r="AB61" s="80" t="str">
        <f>IF($D61="","",INDEX('Start List'!Y$15:Y$139,MATCH($D61,'Start List'!$C$15:$C$139,0)))</f>
        <v/>
      </c>
    </row>
    <row r="62" spans="1:28" ht="12.75" customHeight="1" x14ac:dyDescent="0.2">
      <c r="A62" s="59" t="str">
        <f>IF(OR(COUNT('Start List'!A:A)+2='Men-Women'!A61,A61=""),"",'Men-Women'!A61+1)</f>
        <v/>
      </c>
      <c r="B62" s="228" t="str">
        <f>IF(A62="","",IF(COUNTIF($B$9:B61,$B$9)-1=COUNTIF('Start List'!C:C,"&gt;999"),'Start List'!$J$10,'Start List'!$J$9))</f>
        <v/>
      </c>
      <c r="C62" s="75" t="str">
        <f>IF(OR(B62="",COUNTIF($B$9:B62,B62)=1),"",COUNTIF($B$9:B62,B62)-1)</f>
        <v/>
      </c>
      <c r="D62" s="227" t="str">
        <f>IF(""=C62,"",IF(COUNTIF($D$9:D61,"")=2,LARGE('Start List'!C:C,A60),LARGE('Start List'!C:C,A61)))</f>
        <v/>
      </c>
      <c r="E62" s="79" t="str">
        <f>IF(C62="","",VLOOKUP(B62,Data!$AK$2:$AN$7,4,FALSE)&amp;C62)</f>
        <v/>
      </c>
      <c r="F62" s="80" t="str">
        <f>IF(COUNTIF(Data!$D$2:$D$97,'Men-Women'!$E62)=0,"",VLOOKUP('Men-Women'!$E62,Data!$D$2:$H$97,'Men-Women'!F$8,FALSE))</f>
        <v/>
      </c>
      <c r="G62" s="80" t="str">
        <f>IF(COUNTIF(Data!$D$2:$D$97,'Men-Women'!$E62)=0,"",VLOOKUP('Men-Women'!$E62,Data!$D$2:$H$97,'Men-Women'!G$8,FALSE))</f>
        <v/>
      </c>
      <c r="H62" s="80" t="str">
        <f>IF(COUNTIF(Data!$D$2:$D$97,'Men-Women'!$E62)=0,"",VLOOKUP('Men-Women'!$E62,Data!$D$2:$H$97,'Men-Women'!H$8,FALSE))</f>
        <v/>
      </c>
      <c r="I62" s="80" t="str">
        <f>IF(COUNTIF(Data!$D$2:$D$97,'Men-Women'!$E62)=0,"",VLOOKUP('Men-Women'!$E62,Data!$D$2:$H$97,'Men-Women'!I$8,FALSE))</f>
        <v/>
      </c>
      <c r="J62" s="77" t="str">
        <f>IF(B62&lt;&gt;B61,B62,IF($D62="","",INDEX('Start List'!$D$15:$D$139,MATCH($D62,'Start List'!$C$15:$C$139,0))))</f>
        <v/>
      </c>
      <c r="K62" s="77" t="str">
        <f>IF($D62="","",INDEX('Start List'!$E$15:$E$139,MATCH($D62,'Start List'!$C$15:$C$139,0)))</f>
        <v/>
      </c>
      <c r="L62" s="77" t="str">
        <f>IF($D62="","",INDEX('Start List'!$H$15:$H$139,MATCH($D62,'Start List'!$C$15:$C$139,0)))</f>
        <v/>
      </c>
      <c r="M62" s="79" t="str">
        <f>IF($D62="","",INDEX('Start List'!$F$15:$F$139,MATCH($D62,'Start List'!$C$15:$C$139,0)))</f>
        <v/>
      </c>
      <c r="N62" s="80" t="str">
        <f>IF($D62="","",INDEX('Start List'!K$15:K$139,MATCH($D62,'Start List'!$C$15:$C$139,0)))</f>
        <v/>
      </c>
      <c r="O62" s="80" t="str">
        <f>IF($D62="","",INDEX('Start List'!L$15:L$139,MATCH($D62,'Start List'!$C$15:$C$139,0)))</f>
        <v/>
      </c>
      <c r="P62" s="80" t="str">
        <f>IF($D62="","",INDEX('Start List'!M$15:M$139,MATCH($D62,'Start List'!$C$15:$C$139,0)))</f>
        <v/>
      </c>
      <c r="Q62" s="80" t="str">
        <f>IF($D62="","",INDEX('Start List'!N$15:N$139,MATCH($D62,'Start List'!$C$15:$C$139,0)))</f>
        <v/>
      </c>
      <c r="R62" s="80" t="str">
        <f>IF($D62="","",INDEX('Start List'!O$15:O$139,MATCH($D62,'Start List'!$C$15:$C$139,0)))</f>
        <v/>
      </c>
      <c r="S62" s="80" t="str">
        <f>IF($D62="","",INDEX('Start List'!P$15:P$139,MATCH($D62,'Start List'!$C$15:$C$139,0)))</f>
        <v/>
      </c>
      <c r="T62" s="80" t="str">
        <f>IF($D62="","",INDEX('Start List'!Q$15:Q$139,MATCH($D62,'Start List'!$C$15:$C$139,0)))</f>
        <v/>
      </c>
      <c r="U62" s="80" t="str">
        <f>IF($D62="","",INDEX('Start List'!R$15:R$139,MATCH($D62,'Start List'!$C$15:$C$139,0)))</f>
        <v/>
      </c>
      <c r="V62" s="80" t="str">
        <f>IF($D62="","",INDEX('Start List'!S$15:S$139,MATCH($D62,'Start List'!$C$15:$C$139,0)))</f>
        <v/>
      </c>
      <c r="W62" s="80" t="str">
        <f>IF($D62="","",INDEX('Start List'!T$15:T$139,MATCH($D62,'Start List'!$C$15:$C$139,0)))</f>
        <v/>
      </c>
      <c r="X62" s="80" t="str">
        <f>IF($D62="","",INDEX('Start List'!U$15:U$139,MATCH($D62,'Start List'!$C$15:$C$139,0)))</f>
        <v/>
      </c>
      <c r="Y62" s="80" t="str">
        <f>IF($D62="","",INDEX('Start List'!V$15:V$139,MATCH($D62,'Start List'!$C$15:$C$139,0)))</f>
        <v/>
      </c>
      <c r="Z62" s="80" t="str">
        <f>IF($D62="","",INDEX('Start List'!W$15:W$139,MATCH($D62,'Start List'!$C$15:$C$139,0)))</f>
        <v/>
      </c>
      <c r="AA62" s="80" t="str">
        <f>IF($D62="","",INDEX('Start List'!X$15:X$139,MATCH($D62,'Start List'!$C$15:$C$139,0)))</f>
        <v/>
      </c>
      <c r="AB62" s="80" t="str">
        <f>IF($D62="","",INDEX('Start List'!Y$15:Y$139,MATCH($D62,'Start List'!$C$15:$C$139,0)))</f>
        <v/>
      </c>
    </row>
    <row r="63" spans="1:28" ht="12.75" customHeight="1" x14ac:dyDescent="0.2">
      <c r="A63" s="59" t="str">
        <f>IF(OR(COUNT('Start List'!A:A)+2='Men-Women'!A62,A62=""),"",'Men-Women'!A62+1)</f>
        <v/>
      </c>
      <c r="B63" s="228" t="str">
        <f>IF(A63="","",IF(COUNTIF($B$9:B62,$B$9)-1=COUNTIF('Start List'!C:C,"&gt;999"),'Start List'!$J$10,'Start List'!$J$9))</f>
        <v/>
      </c>
      <c r="C63" s="75" t="str">
        <f>IF(OR(B63="",COUNTIF($B$9:B63,B63)=1),"",COUNTIF($B$9:B63,B63)-1)</f>
        <v/>
      </c>
      <c r="D63" s="227" t="str">
        <f>IF(""=C63,"",IF(COUNTIF($D$9:D62,"")=2,LARGE('Start List'!C:C,A61),LARGE('Start List'!C:C,A62)))</f>
        <v/>
      </c>
      <c r="E63" s="79" t="str">
        <f>IF(C63="","",VLOOKUP(B63,Data!$AK$2:$AN$7,4,FALSE)&amp;C63)</f>
        <v/>
      </c>
      <c r="F63" s="80" t="str">
        <f>IF(COUNTIF(Data!$D$2:$D$97,'Men-Women'!$E63)=0,"",VLOOKUP('Men-Women'!$E63,Data!$D$2:$H$97,'Men-Women'!F$8,FALSE))</f>
        <v/>
      </c>
      <c r="G63" s="80" t="str">
        <f>IF(COUNTIF(Data!$D$2:$D$97,'Men-Women'!$E63)=0,"",VLOOKUP('Men-Women'!$E63,Data!$D$2:$H$97,'Men-Women'!G$8,FALSE))</f>
        <v/>
      </c>
      <c r="H63" s="80" t="str">
        <f>IF(COUNTIF(Data!$D$2:$D$97,'Men-Women'!$E63)=0,"",VLOOKUP('Men-Women'!$E63,Data!$D$2:$H$97,'Men-Women'!H$8,FALSE))</f>
        <v/>
      </c>
      <c r="I63" s="80" t="str">
        <f>IF(COUNTIF(Data!$D$2:$D$97,'Men-Women'!$E63)=0,"",VLOOKUP('Men-Women'!$E63,Data!$D$2:$H$97,'Men-Women'!I$8,FALSE))</f>
        <v/>
      </c>
      <c r="J63" s="77" t="str">
        <f>IF(B63&lt;&gt;B62,B63,IF($D63="","",INDEX('Start List'!$D$15:$D$139,MATCH($D63,'Start List'!$C$15:$C$139,0))))</f>
        <v/>
      </c>
      <c r="K63" s="77" t="str">
        <f>IF($D63="","",INDEX('Start List'!$E$15:$E$139,MATCH($D63,'Start List'!$C$15:$C$139,0)))</f>
        <v/>
      </c>
      <c r="L63" s="77" t="str">
        <f>IF($D63="","",INDEX('Start List'!$H$15:$H$139,MATCH($D63,'Start List'!$C$15:$C$139,0)))</f>
        <v/>
      </c>
      <c r="M63" s="79" t="str">
        <f>IF($D63="","",INDEX('Start List'!$F$15:$F$139,MATCH($D63,'Start List'!$C$15:$C$139,0)))</f>
        <v/>
      </c>
      <c r="N63" s="80" t="str">
        <f>IF($D63="","",INDEX('Start List'!K$15:K$139,MATCH($D63,'Start List'!$C$15:$C$139,0)))</f>
        <v/>
      </c>
      <c r="O63" s="80" t="str">
        <f>IF($D63="","",INDEX('Start List'!L$15:L$139,MATCH($D63,'Start List'!$C$15:$C$139,0)))</f>
        <v/>
      </c>
      <c r="P63" s="80" t="str">
        <f>IF($D63="","",INDEX('Start List'!M$15:M$139,MATCH($D63,'Start List'!$C$15:$C$139,0)))</f>
        <v/>
      </c>
      <c r="Q63" s="80" t="str">
        <f>IF($D63="","",INDEX('Start List'!N$15:N$139,MATCH($D63,'Start List'!$C$15:$C$139,0)))</f>
        <v/>
      </c>
      <c r="R63" s="80" t="str">
        <f>IF($D63="","",INDEX('Start List'!O$15:O$139,MATCH($D63,'Start List'!$C$15:$C$139,0)))</f>
        <v/>
      </c>
      <c r="S63" s="80" t="str">
        <f>IF($D63="","",INDEX('Start List'!P$15:P$139,MATCH($D63,'Start List'!$C$15:$C$139,0)))</f>
        <v/>
      </c>
      <c r="T63" s="80" t="str">
        <f>IF($D63="","",INDEX('Start List'!Q$15:Q$139,MATCH($D63,'Start List'!$C$15:$C$139,0)))</f>
        <v/>
      </c>
      <c r="U63" s="80" t="str">
        <f>IF($D63="","",INDEX('Start List'!R$15:R$139,MATCH($D63,'Start List'!$C$15:$C$139,0)))</f>
        <v/>
      </c>
      <c r="V63" s="80" t="str">
        <f>IF($D63="","",INDEX('Start List'!S$15:S$139,MATCH($D63,'Start List'!$C$15:$C$139,0)))</f>
        <v/>
      </c>
      <c r="W63" s="80" t="str">
        <f>IF($D63="","",INDEX('Start List'!T$15:T$139,MATCH($D63,'Start List'!$C$15:$C$139,0)))</f>
        <v/>
      </c>
      <c r="X63" s="80" t="str">
        <f>IF($D63="","",INDEX('Start List'!U$15:U$139,MATCH($D63,'Start List'!$C$15:$C$139,0)))</f>
        <v/>
      </c>
      <c r="Y63" s="80" t="str">
        <f>IF($D63="","",INDEX('Start List'!V$15:V$139,MATCH($D63,'Start List'!$C$15:$C$139,0)))</f>
        <v/>
      </c>
      <c r="Z63" s="80" t="str">
        <f>IF($D63="","",INDEX('Start List'!W$15:W$139,MATCH($D63,'Start List'!$C$15:$C$139,0)))</f>
        <v/>
      </c>
      <c r="AA63" s="80" t="str">
        <f>IF($D63="","",INDEX('Start List'!X$15:X$139,MATCH($D63,'Start List'!$C$15:$C$139,0)))</f>
        <v/>
      </c>
      <c r="AB63" s="80" t="str">
        <f>IF($D63="","",INDEX('Start List'!Y$15:Y$139,MATCH($D63,'Start List'!$C$15:$C$139,0)))</f>
        <v/>
      </c>
    </row>
    <row r="64" spans="1:28" ht="12.75" customHeight="1" x14ac:dyDescent="0.2">
      <c r="A64" s="59" t="str">
        <f>IF(OR(COUNT('Start List'!A:A)+2='Men-Women'!A63,A63=""),"",'Men-Women'!A63+1)</f>
        <v/>
      </c>
      <c r="B64" s="228" t="str">
        <f>IF(A64="","",IF(COUNTIF($B$9:B63,$B$9)-1=COUNTIF('Start List'!C:C,"&gt;999"),'Start List'!$J$10,'Start List'!$J$9))</f>
        <v/>
      </c>
      <c r="C64" s="75" t="str">
        <f>IF(OR(B64="",COUNTIF($B$9:B64,B64)=1),"",COUNTIF($B$9:B64,B64)-1)</f>
        <v/>
      </c>
      <c r="D64" s="227" t="str">
        <f>IF(""=C64,"",IF(COUNTIF($D$9:D63,"")=2,LARGE('Start List'!C:C,A62),LARGE('Start List'!C:C,A63)))</f>
        <v/>
      </c>
      <c r="E64" s="79" t="str">
        <f>IF(C64="","",VLOOKUP(B64,Data!$AK$2:$AN$7,4,FALSE)&amp;C64)</f>
        <v/>
      </c>
      <c r="F64" s="80" t="str">
        <f>IF(COUNTIF(Data!$D$2:$D$97,'Men-Women'!$E64)=0,"",VLOOKUP('Men-Women'!$E64,Data!$D$2:$H$97,'Men-Women'!F$8,FALSE))</f>
        <v/>
      </c>
      <c r="G64" s="80" t="str">
        <f>IF(COUNTIF(Data!$D$2:$D$97,'Men-Women'!$E64)=0,"",VLOOKUP('Men-Women'!$E64,Data!$D$2:$H$97,'Men-Women'!G$8,FALSE))</f>
        <v/>
      </c>
      <c r="H64" s="80" t="str">
        <f>IF(COUNTIF(Data!$D$2:$D$97,'Men-Women'!$E64)=0,"",VLOOKUP('Men-Women'!$E64,Data!$D$2:$H$97,'Men-Women'!H$8,FALSE))</f>
        <v/>
      </c>
      <c r="I64" s="80" t="str">
        <f>IF(COUNTIF(Data!$D$2:$D$97,'Men-Women'!$E64)=0,"",VLOOKUP('Men-Women'!$E64,Data!$D$2:$H$97,'Men-Women'!I$8,FALSE))</f>
        <v/>
      </c>
      <c r="J64" s="77" t="str">
        <f>IF(B64&lt;&gt;B63,B64,IF($D64="","",INDEX('Start List'!$D$15:$D$139,MATCH($D64,'Start List'!$C$15:$C$139,0))))</f>
        <v/>
      </c>
      <c r="K64" s="77" t="str">
        <f>IF($D64="","",INDEX('Start List'!$E$15:$E$139,MATCH($D64,'Start List'!$C$15:$C$139,0)))</f>
        <v/>
      </c>
      <c r="L64" s="77" t="str">
        <f>IF($D64="","",INDEX('Start List'!$H$15:$H$139,MATCH($D64,'Start List'!$C$15:$C$139,0)))</f>
        <v/>
      </c>
      <c r="M64" s="79" t="str">
        <f>IF($D64="","",INDEX('Start List'!$F$15:$F$139,MATCH($D64,'Start List'!$C$15:$C$139,0)))</f>
        <v/>
      </c>
      <c r="N64" s="80" t="str">
        <f>IF($D64="","",INDEX('Start List'!K$15:K$139,MATCH($D64,'Start List'!$C$15:$C$139,0)))</f>
        <v/>
      </c>
      <c r="O64" s="80" t="str">
        <f>IF($D64="","",INDEX('Start List'!L$15:L$139,MATCH($D64,'Start List'!$C$15:$C$139,0)))</f>
        <v/>
      </c>
      <c r="P64" s="80" t="str">
        <f>IF($D64="","",INDEX('Start List'!M$15:M$139,MATCH($D64,'Start List'!$C$15:$C$139,0)))</f>
        <v/>
      </c>
      <c r="Q64" s="80" t="str">
        <f>IF($D64="","",INDEX('Start List'!N$15:N$139,MATCH($D64,'Start List'!$C$15:$C$139,0)))</f>
        <v/>
      </c>
      <c r="R64" s="80" t="str">
        <f>IF($D64="","",INDEX('Start List'!O$15:O$139,MATCH($D64,'Start List'!$C$15:$C$139,0)))</f>
        <v/>
      </c>
      <c r="S64" s="80" t="str">
        <f>IF($D64="","",INDEX('Start List'!P$15:P$139,MATCH($D64,'Start List'!$C$15:$C$139,0)))</f>
        <v/>
      </c>
      <c r="T64" s="80" t="str">
        <f>IF($D64="","",INDEX('Start List'!Q$15:Q$139,MATCH($D64,'Start List'!$C$15:$C$139,0)))</f>
        <v/>
      </c>
      <c r="U64" s="80" t="str">
        <f>IF($D64="","",INDEX('Start List'!R$15:R$139,MATCH($D64,'Start List'!$C$15:$C$139,0)))</f>
        <v/>
      </c>
      <c r="V64" s="80" t="str">
        <f>IF($D64="","",INDEX('Start List'!S$15:S$139,MATCH($D64,'Start List'!$C$15:$C$139,0)))</f>
        <v/>
      </c>
      <c r="W64" s="80" t="str">
        <f>IF($D64="","",INDEX('Start List'!T$15:T$139,MATCH($D64,'Start List'!$C$15:$C$139,0)))</f>
        <v/>
      </c>
      <c r="X64" s="80" t="str">
        <f>IF($D64="","",INDEX('Start List'!U$15:U$139,MATCH($D64,'Start List'!$C$15:$C$139,0)))</f>
        <v/>
      </c>
      <c r="Y64" s="80" t="str">
        <f>IF($D64="","",INDEX('Start List'!V$15:V$139,MATCH($D64,'Start List'!$C$15:$C$139,0)))</f>
        <v/>
      </c>
      <c r="Z64" s="80" t="str">
        <f>IF($D64="","",INDEX('Start List'!W$15:W$139,MATCH($D64,'Start List'!$C$15:$C$139,0)))</f>
        <v/>
      </c>
      <c r="AA64" s="80" t="str">
        <f>IF($D64="","",INDEX('Start List'!X$15:X$139,MATCH($D64,'Start List'!$C$15:$C$139,0)))</f>
        <v/>
      </c>
      <c r="AB64" s="80" t="str">
        <f>IF($D64="","",INDEX('Start List'!Y$15:Y$139,MATCH($D64,'Start List'!$C$15:$C$139,0)))</f>
        <v/>
      </c>
    </row>
    <row r="65" spans="1:28" ht="12.75" customHeight="1" x14ac:dyDescent="0.2">
      <c r="A65" s="59" t="str">
        <f>IF(OR(COUNT('Start List'!A:A)+2='Men-Women'!A64,A64=""),"",'Men-Women'!A64+1)</f>
        <v/>
      </c>
      <c r="B65" s="228" t="str">
        <f>IF(A65="","",IF(COUNTIF($B$9:B64,$B$9)-1=COUNTIF('Start List'!C:C,"&gt;999"),'Start List'!$J$10,'Start List'!$J$9))</f>
        <v/>
      </c>
      <c r="C65" s="75" t="str">
        <f>IF(OR(B65="",COUNTIF($B$9:B65,B65)=1),"",COUNTIF($B$9:B65,B65)-1)</f>
        <v/>
      </c>
      <c r="D65" s="227" t="str">
        <f>IF(""=C65,"",IF(COUNTIF($D$9:D64,"")=2,LARGE('Start List'!C:C,A63),LARGE('Start List'!C:C,A64)))</f>
        <v/>
      </c>
      <c r="E65" s="79" t="str">
        <f>IF(C65="","",VLOOKUP(B65,Data!$AK$2:$AN$7,4,FALSE)&amp;C65)</f>
        <v/>
      </c>
      <c r="F65" s="80" t="str">
        <f>IF(COUNTIF(Data!$D$2:$D$97,'Men-Women'!$E65)=0,"",VLOOKUP('Men-Women'!$E65,Data!$D$2:$H$97,'Men-Women'!F$8,FALSE))</f>
        <v/>
      </c>
      <c r="G65" s="80" t="str">
        <f>IF(COUNTIF(Data!$D$2:$D$97,'Men-Women'!$E65)=0,"",VLOOKUP('Men-Women'!$E65,Data!$D$2:$H$97,'Men-Women'!G$8,FALSE))</f>
        <v/>
      </c>
      <c r="H65" s="80" t="str">
        <f>IF(COUNTIF(Data!$D$2:$D$97,'Men-Women'!$E65)=0,"",VLOOKUP('Men-Women'!$E65,Data!$D$2:$H$97,'Men-Women'!H$8,FALSE))</f>
        <v/>
      </c>
      <c r="I65" s="80" t="str">
        <f>IF(COUNTIF(Data!$D$2:$D$97,'Men-Women'!$E65)=0,"",VLOOKUP('Men-Women'!$E65,Data!$D$2:$H$97,'Men-Women'!I$8,FALSE))</f>
        <v/>
      </c>
      <c r="J65" s="77" t="str">
        <f>IF(B65&lt;&gt;B64,B65,IF($D65="","",INDEX('Start List'!$D$15:$D$139,MATCH($D65,'Start List'!$C$15:$C$139,0))))</f>
        <v/>
      </c>
      <c r="K65" s="77" t="str">
        <f>IF($D65="","",INDEX('Start List'!$E$15:$E$139,MATCH($D65,'Start List'!$C$15:$C$139,0)))</f>
        <v/>
      </c>
      <c r="L65" s="77" t="str">
        <f>IF($D65="","",INDEX('Start List'!$H$15:$H$139,MATCH($D65,'Start List'!$C$15:$C$139,0)))</f>
        <v/>
      </c>
      <c r="M65" s="79" t="str">
        <f>IF($D65="","",INDEX('Start List'!$F$15:$F$139,MATCH($D65,'Start List'!$C$15:$C$139,0)))</f>
        <v/>
      </c>
      <c r="N65" s="80" t="str">
        <f>IF($D65="","",INDEX('Start List'!K$15:K$139,MATCH($D65,'Start List'!$C$15:$C$139,0)))</f>
        <v/>
      </c>
      <c r="O65" s="80" t="str">
        <f>IF($D65="","",INDEX('Start List'!L$15:L$139,MATCH($D65,'Start List'!$C$15:$C$139,0)))</f>
        <v/>
      </c>
      <c r="P65" s="80" t="str">
        <f>IF($D65="","",INDEX('Start List'!M$15:M$139,MATCH($D65,'Start List'!$C$15:$C$139,0)))</f>
        <v/>
      </c>
      <c r="Q65" s="80" t="str">
        <f>IF($D65="","",INDEX('Start List'!N$15:N$139,MATCH($D65,'Start List'!$C$15:$C$139,0)))</f>
        <v/>
      </c>
      <c r="R65" s="80" t="str">
        <f>IF($D65="","",INDEX('Start List'!O$15:O$139,MATCH($D65,'Start List'!$C$15:$C$139,0)))</f>
        <v/>
      </c>
      <c r="S65" s="80" t="str">
        <f>IF($D65="","",INDEX('Start List'!P$15:P$139,MATCH($D65,'Start List'!$C$15:$C$139,0)))</f>
        <v/>
      </c>
      <c r="T65" s="80" t="str">
        <f>IF($D65="","",INDEX('Start List'!Q$15:Q$139,MATCH($D65,'Start List'!$C$15:$C$139,0)))</f>
        <v/>
      </c>
      <c r="U65" s="80" t="str">
        <f>IF($D65="","",INDEX('Start List'!R$15:R$139,MATCH($D65,'Start List'!$C$15:$C$139,0)))</f>
        <v/>
      </c>
      <c r="V65" s="80" t="str">
        <f>IF($D65="","",INDEX('Start List'!S$15:S$139,MATCH($D65,'Start List'!$C$15:$C$139,0)))</f>
        <v/>
      </c>
      <c r="W65" s="80" t="str">
        <f>IF($D65="","",INDEX('Start List'!T$15:T$139,MATCH($D65,'Start List'!$C$15:$C$139,0)))</f>
        <v/>
      </c>
      <c r="X65" s="80" t="str">
        <f>IF($D65="","",INDEX('Start List'!U$15:U$139,MATCH($D65,'Start List'!$C$15:$C$139,0)))</f>
        <v/>
      </c>
      <c r="Y65" s="80" t="str">
        <f>IF($D65="","",INDEX('Start List'!V$15:V$139,MATCH($D65,'Start List'!$C$15:$C$139,0)))</f>
        <v/>
      </c>
      <c r="Z65" s="80" t="str">
        <f>IF($D65="","",INDEX('Start List'!W$15:W$139,MATCH($D65,'Start List'!$C$15:$C$139,0)))</f>
        <v/>
      </c>
      <c r="AA65" s="80" t="str">
        <f>IF($D65="","",INDEX('Start List'!X$15:X$139,MATCH($D65,'Start List'!$C$15:$C$139,0)))</f>
        <v/>
      </c>
      <c r="AB65" s="80" t="str">
        <f>IF($D65="","",INDEX('Start List'!Y$15:Y$139,MATCH($D65,'Start List'!$C$15:$C$139,0)))</f>
        <v/>
      </c>
    </row>
    <row r="66" spans="1:28" ht="12.75" customHeight="1" x14ac:dyDescent="0.2">
      <c r="A66" s="59" t="str">
        <f>IF(OR(COUNT('Start List'!A:A)+2='Men-Women'!A65,A65=""),"",'Men-Women'!A65+1)</f>
        <v/>
      </c>
      <c r="B66" s="228" t="str">
        <f>IF(A66="","",IF(COUNTIF($B$9:B65,$B$9)-1=COUNTIF('Start List'!C:C,"&gt;999"),'Start List'!$J$10,'Start List'!$J$9))</f>
        <v/>
      </c>
      <c r="C66" s="75" t="str">
        <f>IF(OR(B66="",COUNTIF($B$9:B66,B66)=1),"",COUNTIF($B$9:B66,B66)-1)</f>
        <v/>
      </c>
      <c r="D66" s="227" t="str">
        <f>IF(""=C66,"",IF(COUNTIF($D$9:D65,"")=2,LARGE('Start List'!C:C,A64),LARGE('Start List'!C:C,A65)))</f>
        <v/>
      </c>
      <c r="E66" s="79" t="str">
        <f>IF(C66="","",VLOOKUP(B66,Data!$AK$2:$AN$7,4,FALSE)&amp;C66)</f>
        <v/>
      </c>
      <c r="F66" s="80" t="str">
        <f>IF(COUNTIF(Data!$D$2:$D$97,'Men-Women'!$E66)=0,"",VLOOKUP('Men-Women'!$E66,Data!$D$2:$H$97,'Men-Women'!F$8,FALSE))</f>
        <v/>
      </c>
      <c r="G66" s="80" t="str">
        <f>IF(COUNTIF(Data!$D$2:$D$97,'Men-Women'!$E66)=0,"",VLOOKUP('Men-Women'!$E66,Data!$D$2:$H$97,'Men-Women'!G$8,FALSE))</f>
        <v/>
      </c>
      <c r="H66" s="80" t="str">
        <f>IF(COUNTIF(Data!$D$2:$D$97,'Men-Women'!$E66)=0,"",VLOOKUP('Men-Women'!$E66,Data!$D$2:$H$97,'Men-Women'!H$8,FALSE))</f>
        <v/>
      </c>
      <c r="I66" s="80" t="str">
        <f>IF(COUNTIF(Data!$D$2:$D$97,'Men-Women'!$E66)=0,"",VLOOKUP('Men-Women'!$E66,Data!$D$2:$H$97,'Men-Women'!I$8,FALSE))</f>
        <v/>
      </c>
      <c r="J66" s="77" t="str">
        <f>IF(B66&lt;&gt;B65,B66,IF($D66="","",INDEX('Start List'!$D$15:$D$139,MATCH($D66,'Start List'!$C$15:$C$139,0))))</f>
        <v/>
      </c>
      <c r="K66" s="77" t="str">
        <f>IF($D66="","",INDEX('Start List'!$E$15:$E$139,MATCH($D66,'Start List'!$C$15:$C$139,0)))</f>
        <v/>
      </c>
      <c r="L66" s="77" t="str">
        <f>IF($D66="","",INDEX('Start List'!$H$15:$H$139,MATCH($D66,'Start List'!$C$15:$C$139,0)))</f>
        <v/>
      </c>
      <c r="M66" s="79" t="str">
        <f>IF($D66="","",INDEX('Start List'!$F$15:$F$139,MATCH($D66,'Start List'!$C$15:$C$139,0)))</f>
        <v/>
      </c>
      <c r="N66" s="80" t="str">
        <f>IF($D66="","",INDEX('Start List'!K$15:K$139,MATCH($D66,'Start List'!$C$15:$C$139,0)))</f>
        <v/>
      </c>
      <c r="O66" s="80" t="str">
        <f>IF($D66="","",INDEX('Start List'!L$15:L$139,MATCH($D66,'Start List'!$C$15:$C$139,0)))</f>
        <v/>
      </c>
      <c r="P66" s="80" t="str">
        <f>IF($D66="","",INDEX('Start List'!M$15:M$139,MATCH($D66,'Start List'!$C$15:$C$139,0)))</f>
        <v/>
      </c>
      <c r="Q66" s="80" t="str">
        <f>IF($D66="","",INDEX('Start List'!N$15:N$139,MATCH($D66,'Start List'!$C$15:$C$139,0)))</f>
        <v/>
      </c>
      <c r="R66" s="80" t="str">
        <f>IF($D66="","",INDEX('Start List'!O$15:O$139,MATCH($D66,'Start List'!$C$15:$C$139,0)))</f>
        <v/>
      </c>
      <c r="S66" s="80" t="str">
        <f>IF($D66="","",INDEX('Start List'!P$15:P$139,MATCH($D66,'Start List'!$C$15:$C$139,0)))</f>
        <v/>
      </c>
      <c r="T66" s="80" t="str">
        <f>IF($D66="","",INDEX('Start List'!Q$15:Q$139,MATCH($D66,'Start List'!$C$15:$C$139,0)))</f>
        <v/>
      </c>
      <c r="U66" s="80" t="str">
        <f>IF($D66="","",INDEX('Start List'!R$15:R$139,MATCH($D66,'Start List'!$C$15:$C$139,0)))</f>
        <v/>
      </c>
      <c r="V66" s="80" t="str">
        <f>IF($D66="","",INDEX('Start List'!S$15:S$139,MATCH($D66,'Start List'!$C$15:$C$139,0)))</f>
        <v/>
      </c>
      <c r="W66" s="80" t="str">
        <f>IF($D66="","",INDEX('Start List'!T$15:T$139,MATCH($D66,'Start List'!$C$15:$C$139,0)))</f>
        <v/>
      </c>
      <c r="X66" s="80" t="str">
        <f>IF($D66="","",INDEX('Start List'!U$15:U$139,MATCH($D66,'Start List'!$C$15:$C$139,0)))</f>
        <v/>
      </c>
      <c r="Y66" s="80" t="str">
        <f>IF($D66="","",INDEX('Start List'!V$15:V$139,MATCH($D66,'Start List'!$C$15:$C$139,0)))</f>
        <v/>
      </c>
      <c r="Z66" s="80" t="str">
        <f>IF($D66="","",INDEX('Start List'!W$15:W$139,MATCH($D66,'Start List'!$C$15:$C$139,0)))</f>
        <v/>
      </c>
      <c r="AA66" s="80" t="str">
        <f>IF($D66="","",INDEX('Start List'!X$15:X$139,MATCH($D66,'Start List'!$C$15:$C$139,0)))</f>
        <v/>
      </c>
      <c r="AB66" s="80" t="str">
        <f>IF($D66="","",INDEX('Start List'!Y$15:Y$139,MATCH($D66,'Start List'!$C$15:$C$139,0)))</f>
        <v/>
      </c>
    </row>
    <row r="67" spans="1:28" ht="12.75" customHeight="1" x14ac:dyDescent="0.2">
      <c r="A67" s="59" t="str">
        <f>IF(OR(COUNT('Start List'!A:A)+2='Men-Women'!A66,A66=""),"",'Men-Women'!A66+1)</f>
        <v/>
      </c>
      <c r="B67" s="228" t="str">
        <f>IF(A67="","",IF(COUNTIF($B$9:B66,$B$9)-1=COUNTIF('Start List'!C:C,"&gt;999"),'Start List'!$J$10,'Start List'!$J$9))</f>
        <v/>
      </c>
      <c r="C67" s="75" t="str">
        <f>IF(OR(B67="",COUNTIF($B$9:B67,B67)=1),"",COUNTIF($B$9:B67,B67)-1)</f>
        <v/>
      </c>
      <c r="D67" s="227" t="str">
        <f>IF(""=C67,"",IF(COUNTIF($D$9:D66,"")=2,LARGE('Start List'!C:C,A65),LARGE('Start List'!C:C,A66)))</f>
        <v/>
      </c>
      <c r="E67" s="79" t="str">
        <f>IF(C67="","",VLOOKUP(B67,Data!$AK$2:$AN$7,4,FALSE)&amp;C67)</f>
        <v/>
      </c>
      <c r="F67" s="80" t="str">
        <f>IF(COUNTIF(Data!$D$2:$D$97,'Men-Women'!$E67)=0,"",VLOOKUP('Men-Women'!$E67,Data!$D$2:$H$97,'Men-Women'!F$8,FALSE))</f>
        <v/>
      </c>
      <c r="G67" s="80" t="str">
        <f>IF(COUNTIF(Data!$D$2:$D$97,'Men-Women'!$E67)=0,"",VLOOKUP('Men-Women'!$E67,Data!$D$2:$H$97,'Men-Women'!G$8,FALSE))</f>
        <v/>
      </c>
      <c r="H67" s="80" t="str">
        <f>IF(COUNTIF(Data!$D$2:$D$97,'Men-Women'!$E67)=0,"",VLOOKUP('Men-Women'!$E67,Data!$D$2:$H$97,'Men-Women'!H$8,FALSE))</f>
        <v/>
      </c>
      <c r="I67" s="80" t="str">
        <f>IF(COUNTIF(Data!$D$2:$D$97,'Men-Women'!$E67)=0,"",VLOOKUP('Men-Women'!$E67,Data!$D$2:$H$97,'Men-Women'!I$8,FALSE))</f>
        <v/>
      </c>
      <c r="J67" s="77" t="str">
        <f>IF(B67&lt;&gt;B66,B67,IF($D67="","",INDEX('Start List'!$D$15:$D$139,MATCH($D67,'Start List'!$C$15:$C$139,0))))</f>
        <v/>
      </c>
      <c r="K67" s="77" t="str">
        <f>IF($D67="","",INDEX('Start List'!$E$15:$E$139,MATCH($D67,'Start List'!$C$15:$C$139,0)))</f>
        <v/>
      </c>
      <c r="L67" s="77" t="str">
        <f>IF($D67="","",INDEX('Start List'!$H$15:$H$139,MATCH($D67,'Start List'!$C$15:$C$139,0)))</f>
        <v/>
      </c>
      <c r="M67" s="79" t="str">
        <f>IF($D67="","",INDEX('Start List'!$F$15:$F$139,MATCH($D67,'Start List'!$C$15:$C$139,0)))</f>
        <v/>
      </c>
      <c r="N67" s="80" t="str">
        <f>IF($D67="","",INDEX('Start List'!K$15:K$139,MATCH($D67,'Start List'!$C$15:$C$139,0)))</f>
        <v/>
      </c>
      <c r="O67" s="80" t="str">
        <f>IF($D67="","",INDEX('Start List'!L$15:L$139,MATCH($D67,'Start List'!$C$15:$C$139,0)))</f>
        <v/>
      </c>
      <c r="P67" s="80" t="str">
        <f>IF($D67="","",INDEX('Start List'!M$15:M$139,MATCH($D67,'Start List'!$C$15:$C$139,0)))</f>
        <v/>
      </c>
      <c r="Q67" s="80" t="str">
        <f>IF($D67="","",INDEX('Start List'!N$15:N$139,MATCH($D67,'Start List'!$C$15:$C$139,0)))</f>
        <v/>
      </c>
      <c r="R67" s="80" t="str">
        <f>IF($D67="","",INDEX('Start List'!O$15:O$139,MATCH($D67,'Start List'!$C$15:$C$139,0)))</f>
        <v/>
      </c>
      <c r="S67" s="80" t="str">
        <f>IF($D67="","",INDEX('Start List'!P$15:P$139,MATCH($D67,'Start List'!$C$15:$C$139,0)))</f>
        <v/>
      </c>
      <c r="T67" s="80" t="str">
        <f>IF($D67="","",INDEX('Start List'!Q$15:Q$139,MATCH($D67,'Start List'!$C$15:$C$139,0)))</f>
        <v/>
      </c>
      <c r="U67" s="80" t="str">
        <f>IF($D67="","",INDEX('Start List'!R$15:R$139,MATCH($D67,'Start List'!$C$15:$C$139,0)))</f>
        <v/>
      </c>
      <c r="V67" s="80" t="str">
        <f>IF($D67="","",INDEX('Start List'!S$15:S$139,MATCH($D67,'Start List'!$C$15:$C$139,0)))</f>
        <v/>
      </c>
      <c r="W67" s="80" t="str">
        <f>IF($D67="","",INDEX('Start List'!T$15:T$139,MATCH($D67,'Start List'!$C$15:$C$139,0)))</f>
        <v/>
      </c>
      <c r="X67" s="80" t="str">
        <f>IF($D67="","",INDEX('Start List'!U$15:U$139,MATCH($D67,'Start List'!$C$15:$C$139,0)))</f>
        <v/>
      </c>
      <c r="Y67" s="80" t="str">
        <f>IF($D67="","",INDEX('Start List'!V$15:V$139,MATCH($D67,'Start List'!$C$15:$C$139,0)))</f>
        <v/>
      </c>
      <c r="Z67" s="80" t="str">
        <f>IF($D67="","",INDEX('Start List'!W$15:W$139,MATCH($D67,'Start List'!$C$15:$C$139,0)))</f>
        <v/>
      </c>
      <c r="AA67" s="80" t="str">
        <f>IF($D67="","",INDEX('Start List'!X$15:X$139,MATCH($D67,'Start List'!$C$15:$C$139,0)))</f>
        <v/>
      </c>
      <c r="AB67" s="80" t="str">
        <f>IF($D67="","",INDEX('Start List'!Y$15:Y$139,MATCH($D67,'Start List'!$C$15:$C$139,0)))</f>
        <v/>
      </c>
    </row>
    <row r="68" spans="1:28" ht="12.75" customHeight="1" x14ac:dyDescent="0.2">
      <c r="A68" s="59" t="str">
        <f>IF(OR(COUNT('Start List'!A:A)+2='Men-Women'!A67,A67=""),"",'Men-Women'!A67+1)</f>
        <v/>
      </c>
      <c r="B68" s="228" t="str">
        <f>IF(A68="","",IF(COUNTIF($B$9:B67,$B$9)-1=COUNTIF('Start List'!C:C,"&gt;999"),'Start List'!$J$10,'Start List'!$J$9))</f>
        <v/>
      </c>
      <c r="C68" s="75" t="str">
        <f>IF(OR(B68="",COUNTIF($B$9:B68,B68)=1),"",COUNTIF($B$9:B68,B68)-1)</f>
        <v/>
      </c>
      <c r="D68" s="227" t="str">
        <f>IF(""=C68,"",IF(COUNTIF($D$9:D67,"")=2,LARGE('Start List'!C:C,A66),LARGE('Start List'!C:C,A67)))</f>
        <v/>
      </c>
      <c r="E68" s="79" t="str">
        <f>IF(C68="","",VLOOKUP(B68,Data!$AK$2:$AN$7,4,FALSE)&amp;C68)</f>
        <v/>
      </c>
      <c r="F68" s="80" t="str">
        <f>IF(COUNTIF(Data!$D$2:$D$97,'Men-Women'!$E68)=0,"",VLOOKUP('Men-Women'!$E68,Data!$D$2:$H$97,'Men-Women'!F$8,FALSE))</f>
        <v/>
      </c>
      <c r="G68" s="80" t="str">
        <f>IF(COUNTIF(Data!$D$2:$D$97,'Men-Women'!$E68)=0,"",VLOOKUP('Men-Women'!$E68,Data!$D$2:$H$97,'Men-Women'!G$8,FALSE))</f>
        <v/>
      </c>
      <c r="H68" s="80" t="str">
        <f>IF(COUNTIF(Data!$D$2:$D$97,'Men-Women'!$E68)=0,"",VLOOKUP('Men-Women'!$E68,Data!$D$2:$H$97,'Men-Women'!H$8,FALSE))</f>
        <v/>
      </c>
      <c r="I68" s="80" t="str">
        <f>IF(COUNTIF(Data!$D$2:$D$97,'Men-Women'!$E68)=0,"",VLOOKUP('Men-Women'!$E68,Data!$D$2:$H$97,'Men-Women'!I$8,FALSE))</f>
        <v/>
      </c>
      <c r="J68" s="77" t="str">
        <f>IF(B68&lt;&gt;B67,B68,IF($D68="","",INDEX('Start List'!$D$15:$D$139,MATCH($D68,'Start List'!$C$15:$C$139,0))))</f>
        <v/>
      </c>
      <c r="K68" s="77" t="str">
        <f>IF($D68="","",INDEX('Start List'!$E$15:$E$139,MATCH($D68,'Start List'!$C$15:$C$139,0)))</f>
        <v/>
      </c>
      <c r="L68" s="77" t="str">
        <f>IF($D68="","",INDEX('Start List'!$H$15:$H$139,MATCH($D68,'Start List'!$C$15:$C$139,0)))</f>
        <v/>
      </c>
      <c r="M68" s="79" t="str">
        <f>IF($D68="","",INDEX('Start List'!$F$15:$F$139,MATCH($D68,'Start List'!$C$15:$C$139,0)))</f>
        <v/>
      </c>
      <c r="N68" s="80" t="str">
        <f>IF($D68="","",INDEX('Start List'!K$15:K$139,MATCH($D68,'Start List'!$C$15:$C$139,0)))</f>
        <v/>
      </c>
      <c r="O68" s="80" t="str">
        <f>IF($D68="","",INDEX('Start List'!L$15:L$139,MATCH($D68,'Start List'!$C$15:$C$139,0)))</f>
        <v/>
      </c>
      <c r="P68" s="80" t="str">
        <f>IF($D68="","",INDEX('Start List'!M$15:M$139,MATCH($D68,'Start List'!$C$15:$C$139,0)))</f>
        <v/>
      </c>
      <c r="Q68" s="80" t="str">
        <f>IF($D68="","",INDEX('Start List'!N$15:N$139,MATCH($D68,'Start List'!$C$15:$C$139,0)))</f>
        <v/>
      </c>
      <c r="R68" s="80" t="str">
        <f>IF($D68="","",INDEX('Start List'!O$15:O$139,MATCH($D68,'Start List'!$C$15:$C$139,0)))</f>
        <v/>
      </c>
      <c r="S68" s="80" t="str">
        <f>IF($D68="","",INDEX('Start List'!P$15:P$139,MATCH($D68,'Start List'!$C$15:$C$139,0)))</f>
        <v/>
      </c>
      <c r="T68" s="80" t="str">
        <f>IF($D68="","",INDEX('Start List'!Q$15:Q$139,MATCH($D68,'Start List'!$C$15:$C$139,0)))</f>
        <v/>
      </c>
      <c r="U68" s="80" t="str">
        <f>IF($D68="","",INDEX('Start List'!R$15:R$139,MATCH($D68,'Start List'!$C$15:$C$139,0)))</f>
        <v/>
      </c>
      <c r="V68" s="80" t="str">
        <f>IF($D68="","",INDEX('Start List'!S$15:S$139,MATCH($D68,'Start List'!$C$15:$C$139,0)))</f>
        <v/>
      </c>
      <c r="W68" s="80" t="str">
        <f>IF($D68="","",INDEX('Start List'!T$15:T$139,MATCH($D68,'Start List'!$C$15:$C$139,0)))</f>
        <v/>
      </c>
      <c r="X68" s="80" t="str">
        <f>IF($D68="","",INDEX('Start List'!U$15:U$139,MATCH($D68,'Start List'!$C$15:$C$139,0)))</f>
        <v/>
      </c>
      <c r="Y68" s="80" t="str">
        <f>IF($D68="","",INDEX('Start List'!V$15:V$139,MATCH($D68,'Start List'!$C$15:$C$139,0)))</f>
        <v/>
      </c>
      <c r="Z68" s="80" t="str">
        <f>IF($D68="","",INDEX('Start List'!W$15:W$139,MATCH($D68,'Start List'!$C$15:$C$139,0)))</f>
        <v/>
      </c>
      <c r="AA68" s="80" t="str">
        <f>IF($D68="","",INDEX('Start List'!X$15:X$139,MATCH($D68,'Start List'!$C$15:$C$139,0)))</f>
        <v/>
      </c>
      <c r="AB68" s="80" t="str">
        <f>IF($D68="","",INDEX('Start List'!Y$15:Y$139,MATCH($D68,'Start List'!$C$15:$C$139,0)))</f>
        <v/>
      </c>
    </row>
    <row r="69" spans="1:28" ht="12.75" customHeight="1" x14ac:dyDescent="0.2">
      <c r="A69" s="59" t="str">
        <f>IF(OR(COUNT('Start List'!A:A)+2='Men-Women'!A68,A68=""),"",'Men-Women'!A68+1)</f>
        <v/>
      </c>
      <c r="B69" s="228" t="str">
        <f>IF(A69="","",IF(COUNTIF($B$9:B68,$B$9)-1=COUNTIF('Start List'!C:C,"&gt;999"),'Start List'!$J$10,'Start List'!$J$9))</f>
        <v/>
      </c>
      <c r="C69" s="75" t="str">
        <f>IF(OR(B69="",COUNTIF($B$9:B69,B69)=1),"",COUNTIF($B$9:B69,B69)-1)</f>
        <v/>
      </c>
      <c r="D69" s="227" t="str">
        <f>IF(""=C69,"",IF(COUNTIF($D$9:D68,"")=2,LARGE('Start List'!C:C,A67),LARGE('Start List'!C:C,A68)))</f>
        <v/>
      </c>
      <c r="E69" s="79" t="str">
        <f>IF(C69="","",VLOOKUP(B69,Data!$AK$2:$AN$7,4,FALSE)&amp;C69)</f>
        <v/>
      </c>
      <c r="F69" s="80" t="str">
        <f>IF(COUNTIF(Data!$D$2:$D$97,'Men-Women'!$E69)=0,"",VLOOKUP('Men-Women'!$E69,Data!$D$2:$H$97,'Men-Women'!F$8,FALSE))</f>
        <v/>
      </c>
      <c r="G69" s="80" t="str">
        <f>IF(COUNTIF(Data!$D$2:$D$97,'Men-Women'!$E69)=0,"",VLOOKUP('Men-Women'!$E69,Data!$D$2:$H$97,'Men-Women'!G$8,FALSE))</f>
        <v/>
      </c>
      <c r="H69" s="80" t="str">
        <f>IF(COUNTIF(Data!$D$2:$D$97,'Men-Women'!$E69)=0,"",VLOOKUP('Men-Women'!$E69,Data!$D$2:$H$97,'Men-Women'!H$8,FALSE))</f>
        <v/>
      </c>
      <c r="I69" s="80" t="str">
        <f>IF(COUNTIF(Data!$D$2:$D$97,'Men-Women'!$E69)=0,"",VLOOKUP('Men-Women'!$E69,Data!$D$2:$H$97,'Men-Women'!I$8,FALSE))</f>
        <v/>
      </c>
      <c r="J69" s="77" t="str">
        <f>IF(B69&lt;&gt;B68,B69,IF($D69="","",INDEX('Start List'!$D$15:$D$139,MATCH($D69,'Start List'!$C$15:$C$139,0))))</f>
        <v/>
      </c>
      <c r="K69" s="77" t="str">
        <f>IF($D69="","",INDEX('Start List'!$E$15:$E$139,MATCH($D69,'Start List'!$C$15:$C$139,0)))</f>
        <v/>
      </c>
      <c r="L69" s="77" t="str">
        <f>IF($D69="","",INDEX('Start List'!$H$15:$H$139,MATCH($D69,'Start List'!$C$15:$C$139,0)))</f>
        <v/>
      </c>
      <c r="M69" s="79" t="str">
        <f>IF($D69="","",INDEX('Start List'!$F$15:$F$139,MATCH($D69,'Start List'!$C$15:$C$139,0)))</f>
        <v/>
      </c>
      <c r="N69" s="80" t="str">
        <f>IF($D69="","",INDEX('Start List'!K$15:K$139,MATCH($D69,'Start List'!$C$15:$C$139,0)))</f>
        <v/>
      </c>
      <c r="O69" s="80" t="str">
        <f>IF($D69="","",INDEX('Start List'!L$15:L$139,MATCH($D69,'Start List'!$C$15:$C$139,0)))</f>
        <v/>
      </c>
      <c r="P69" s="80" t="str">
        <f>IF($D69="","",INDEX('Start List'!M$15:M$139,MATCH($D69,'Start List'!$C$15:$C$139,0)))</f>
        <v/>
      </c>
      <c r="Q69" s="80" t="str">
        <f>IF($D69="","",INDEX('Start List'!N$15:N$139,MATCH($D69,'Start List'!$C$15:$C$139,0)))</f>
        <v/>
      </c>
      <c r="R69" s="80" t="str">
        <f>IF($D69="","",INDEX('Start List'!O$15:O$139,MATCH($D69,'Start List'!$C$15:$C$139,0)))</f>
        <v/>
      </c>
      <c r="S69" s="80" t="str">
        <f>IF($D69="","",INDEX('Start List'!P$15:P$139,MATCH($D69,'Start List'!$C$15:$C$139,0)))</f>
        <v/>
      </c>
      <c r="T69" s="80" t="str">
        <f>IF($D69="","",INDEX('Start List'!Q$15:Q$139,MATCH($D69,'Start List'!$C$15:$C$139,0)))</f>
        <v/>
      </c>
      <c r="U69" s="80" t="str">
        <f>IF($D69="","",INDEX('Start List'!R$15:R$139,MATCH($D69,'Start List'!$C$15:$C$139,0)))</f>
        <v/>
      </c>
      <c r="V69" s="80" t="str">
        <f>IF($D69="","",INDEX('Start List'!S$15:S$139,MATCH($D69,'Start List'!$C$15:$C$139,0)))</f>
        <v/>
      </c>
      <c r="W69" s="80" t="str">
        <f>IF($D69="","",INDEX('Start List'!T$15:T$139,MATCH($D69,'Start List'!$C$15:$C$139,0)))</f>
        <v/>
      </c>
      <c r="X69" s="80" t="str">
        <f>IF($D69="","",INDEX('Start List'!U$15:U$139,MATCH($D69,'Start List'!$C$15:$C$139,0)))</f>
        <v/>
      </c>
      <c r="Y69" s="80" t="str">
        <f>IF($D69="","",INDEX('Start List'!V$15:V$139,MATCH($D69,'Start List'!$C$15:$C$139,0)))</f>
        <v/>
      </c>
      <c r="Z69" s="80" t="str">
        <f>IF($D69="","",INDEX('Start List'!W$15:W$139,MATCH($D69,'Start List'!$C$15:$C$139,0)))</f>
        <v/>
      </c>
      <c r="AA69" s="80" t="str">
        <f>IF($D69="","",INDEX('Start List'!X$15:X$139,MATCH($D69,'Start List'!$C$15:$C$139,0)))</f>
        <v/>
      </c>
      <c r="AB69" s="80" t="str">
        <f>IF($D69="","",INDEX('Start List'!Y$15:Y$139,MATCH($D69,'Start List'!$C$15:$C$139,0)))</f>
        <v/>
      </c>
    </row>
    <row r="70" spans="1:28" ht="12.75" customHeight="1" x14ac:dyDescent="0.2">
      <c r="A70" s="59" t="str">
        <f>IF(OR(COUNT('Start List'!A:A)+2='Men-Women'!A69,A69=""),"",'Men-Women'!A69+1)</f>
        <v/>
      </c>
      <c r="B70" s="228" t="str">
        <f>IF(A70="","",IF(COUNTIF($B$9:B69,$B$9)-1=COUNTIF('Start List'!C:C,"&gt;999"),'Start List'!$J$10,'Start List'!$J$9))</f>
        <v/>
      </c>
      <c r="C70" s="75" t="str">
        <f>IF(OR(B70="",COUNTIF($B$9:B70,B70)=1),"",COUNTIF($B$9:B70,B70)-1)</f>
        <v/>
      </c>
      <c r="D70" s="227" t="str">
        <f>IF(""=C70,"",IF(COUNTIF($D$9:D69,"")=2,LARGE('Start List'!C:C,A68),LARGE('Start List'!C:C,A69)))</f>
        <v/>
      </c>
      <c r="E70" s="79" t="str">
        <f>IF(C70="","",VLOOKUP(B70,Data!$AK$2:$AN$7,4,FALSE)&amp;C70)</f>
        <v/>
      </c>
      <c r="F70" s="80" t="str">
        <f>IF(COUNTIF(Data!$D$2:$D$97,'Men-Women'!$E70)=0,"",VLOOKUP('Men-Women'!$E70,Data!$D$2:$H$97,'Men-Women'!F$8,FALSE))</f>
        <v/>
      </c>
      <c r="G70" s="80" t="str">
        <f>IF(COUNTIF(Data!$D$2:$D$97,'Men-Women'!$E70)=0,"",VLOOKUP('Men-Women'!$E70,Data!$D$2:$H$97,'Men-Women'!G$8,FALSE))</f>
        <v/>
      </c>
      <c r="H70" s="80" t="str">
        <f>IF(COUNTIF(Data!$D$2:$D$97,'Men-Women'!$E70)=0,"",VLOOKUP('Men-Women'!$E70,Data!$D$2:$H$97,'Men-Women'!H$8,FALSE))</f>
        <v/>
      </c>
      <c r="I70" s="80" t="str">
        <f>IF(COUNTIF(Data!$D$2:$D$97,'Men-Women'!$E70)=0,"",VLOOKUP('Men-Women'!$E70,Data!$D$2:$H$97,'Men-Women'!I$8,FALSE))</f>
        <v/>
      </c>
      <c r="J70" s="77" t="str">
        <f>IF(B70&lt;&gt;B69,B70,IF($D70="","",INDEX('Start List'!$D$15:$D$139,MATCH($D70,'Start List'!$C$15:$C$139,0))))</f>
        <v/>
      </c>
      <c r="K70" s="77" t="str">
        <f>IF($D70="","",INDEX('Start List'!$E$15:$E$139,MATCH($D70,'Start List'!$C$15:$C$139,0)))</f>
        <v/>
      </c>
      <c r="L70" s="77" t="str">
        <f>IF($D70="","",INDEX('Start List'!$H$15:$H$139,MATCH($D70,'Start List'!$C$15:$C$139,0)))</f>
        <v/>
      </c>
      <c r="M70" s="79" t="str">
        <f>IF($D70="","",INDEX('Start List'!$F$15:$F$139,MATCH($D70,'Start List'!$C$15:$C$139,0)))</f>
        <v/>
      </c>
      <c r="N70" s="80" t="str">
        <f>IF($D70="","",INDEX('Start List'!K$15:K$139,MATCH($D70,'Start List'!$C$15:$C$139,0)))</f>
        <v/>
      </c>
      <c r="O70" s="80" t="str">
        <f>IF($D70="","",INDEX('Start List'!L$15:L$139,MATCH($D70,'Start List'!$C$15:$C$139,0)))</f>
        <v/>
      </c>
      <c r="P70" s="80" t="str">
        <f>IF($D70="","",INDEX('Start List'!M$15:M$139,MATCH($D70,'Start List'!$C$15:$C$139,0)))</f>
        <v/>
      </c>
      <c r="Q70" s="80" t="str">
        <f>IF($D70="","",INDEX('Start List'!N$15:N$139,MATCH($D70,'Start List'!$C$15:$C$139,0)))</f>
        <v/>
      </c>
      <c r="R70" s="80" t="str">
        <f>IF($D70="","",INDEX('Start List'!O$15:O$139,MATCH($D70,'Start List'!$C$15:$C$139,0)))</f>
        <v/>
      </c>
      <c r="S70" s="80" t="str">
        <f>IF($D70="","",INDEX('Start List'!P$15:P$139,MATCH($D70,'Start List'!$C$15:$C$139,0)))</f>
        <v/>
      </c>
      <c r="T70" s="80" t="str">
        <f>IF($D70="","",INDEX('Start List'!Q$15:Q$139,MATCH($D70,'Start List'!$C$15:$C$139,0)))</f>
        <v/>
      </c>
      <c r="U70" s="80" t="str">
        <f>IF($D70="","",INDEX('Start List'!R$15:R$139,MATCH($D70,'Start List'!$C$15:$C$139,0)))</f>
        <v/>
      </c>
      <c r="V70" s="80" t="str">
        <f>IF($D70="","",INDEX('Start List'!S$15:S$139,MATCH($D70,'Start List'!$C$15:$C$139,0)))</f>
        <v/>
      </c>
      <c r="W70" s="80" t="str">
        <f>IF($D70="","",INDEX('Start List'!T$15:T$139,MATCH($D70,'Start List'!$C$15:$C$139,0)))</f>
        <v/>
      </c>
      <c r="X70" s="80" t="str">
        <f>IF($D70="","",INDEX('Start List'!U$15:U$139,MATCH($D70,'Start List'!$C$15:$C$139,0)))</f>
        <v/>
      </c>
      <c r="Y70" s="80" t="str">
        <f>IF($D70="","",INDEX('Start List'!V$15:V$139,MATCH($D70,'Start List'!$C$15:$C$139,0)))</f>
        <v/>
      </c>
      <c r="Z70" s="80" t="str">
        <f>IF($D70="","",INDEX('Start List'!W$15:W$139,MATCH($D70,'Start List'!$C$15:$C$139,0)))</f>
        <v/>
      </c>
      <c r="AA70" s="80" t="str">
        <f>IF($D70="","",INDEX('Start List'!X$15:X$139,MATCH($D70,'Start List'!$C$15:$C$139,0)))</f>
        <v/>
      </c>
      <c r="AB70" s="80" t="str">
        <f>IF($D70="","",INDEX('Start List'!Y$15:Y$139,MATCH($D70,'Start List'!$C$15:$C$139,0)))</f>
        <v/>
      </c>
    </row>
    <row r="71" spans="1:28" ht="12.75" customHeight="1" x14ac:dyDescent="0.2">
      <c r="A71" s="59" t="str">
        <f>IF(OR(COUNT('Start List'!A:A)+2='Men-Women'!A70,A70=""),"",'Men-Women'!A70+1)</f>
        <v/>
      </c>
      <c r="B71" s="228" t="str">
        <f>IF(A71="","",IF(COUNTIF($B$9:B70,$B$9)-1=COUNTIF('Start List'!C:C,"&gt;999"),'Start List'!$J$10,'Start List'!$J$9))</f>
        <v/>
      </c>
      <c r="C71" s="75" t="str">
        <f>IF(OR(B71="",COUNTIF($B$9:B71,B71)=1),"",COUNTIF($B$9:B71,B71)-1)</f>
        <v/>
      </c>
      <c r="D71" s="227" t="str">
        <f>IF(""=C71,"",IF(COUNTIF($D$9:D70,"")=2,LARGE('Start List'!C:C,A69),LARGE('Start List'!C:C,A70)))</f>
        <v/>
      </c>
      <c r="E71" s="79" t="str">
        <f>IF(C71="","",VLOOKUP(B71,Data!$AK$2:$AN$7,4,FALSE)&amp;C71)</f>
        <v/>
      </c>
      <c r="F71" s="80" t="str">
        <f>IF(COUNTIF(Data!$D$2:$D$97,'Men-Women'!$E71)=0,"",VLOOKUP('Men-Women'!$E71,Data!$D$2:$H$97,'Men-Women'!F$8,FALSE))</f>
        <v/>
      </c>
      <c r="G71" s="80" t="str">
        <f>IF(COUNTIF(Data!$D$2:$D$97,'Men-Women'!$E71)=0,"",VLOOKUP('Men-Women'!$E71,Data!$D$2:$H$97,'Men-Women'!G$8,FALSE))</f>
        <v/>
      </c>
      <c r="H71" s="80" t="str">
        <f>IF(COUNTIF(Data!$D$2:$D$97,'Men-Women'!$E71)=0,"",VLOOKUP('Men-Women'!$E71,Data!$D$2:$H$97,'Men-Women'!H$8,FALSE))</f>
        <v/>
      </c>
      <c r="I71" s="80" t="str">
        <f>IF(COUNTIF(Data!$D$2:$D$97,'Men-Women'!$E71)=0,"",VLOOKUP('Men-Women'!$E71,Data!$D$2:$H$97,'Men-Women'!I$8,FALSE))</f>
        <v/>
      </c>
      <c r="J71" s="77" t="str">
        <f>IF(B71&lt;&gt;B70,B71,IF($D71="","",INDEX('Start List'!$D$15:$D$139,MATCH($D71,'Start List'!$C$15:$C$139,0))))</f>
        <v/>
      </c>
      <c r="K71" s="77" t="str">
        <f>IF($D71="","",INDEX('Start List'!$E$15:$E$139,MATCH($D71,'Start List'!$C$15:$C$139,0)))</f>
        <v/>
      </c>
      <c r="L71" s="77" t="str">
        <f>IF($D71="","",INDEX('Start List'!$H$15:$H$139,MATCH($D71,'Start List'!$C$15:$C$139,0)))</f>
        <v/>
      </c>
      <c r="M71" s="79" t="str">
        <f>IF($D71="","",INDEX('Start List'!$F$15:$F$139,MATCH($D71,'Start List'!$C$15:$C$139,0)))</f>
        <v/>
      </c>
      <c r="N71" s="80" t="str">
        <f>IF($D71="","",INDEX('Start List'!K$15:K$139,MATCH($D71,'Start List'!$C$15:$C$139,0)))</f>
        <v/>
      </c>
      <c r="O71" s="80" t="str">
        <f>IF($D71="","",INDEX('Start List'!L$15:L$139,MATCH($D71,'Start List'!$C$15:$C$139,0)))</f>
        <v/>
      </c>
      <c r="P71" s="80" t="str">
        <f>IF($D71="","",INDEX('Start List'!M$15:M$139,MATCH($D71,'Start List'!$C$15:$C$139,0)))</f>
        <v/>
      </c>
      <c r="Q71" s="80" t="str">
        <f>IF($D71="","",INDEX('Start List'!N$15:N$139,MATCH($D71,'Start List'!$C$15:$C$139,0)))</f>
        <v/>
      </c>
      <c r="R71" s="80" t="str">
        <f>IF($D71="","",INDEX('Start List'!O$15:O$139,MATCH($D71,'Start List'!$C$15:$C$139,0)))</f>
        <v/>
      </c>
      <c r="S71" s="80" t="str">
        <f>IF($D71="","",INDEX('Start List'!P$15:P$139,MATCH($D71,'Start List'!$C$15:$C$139,0)))</f>
        <v/>
      </c>
      <c r="T71" s="80" t="str">
        <f>IF($D71="","",INDEX('Start List'!Q$15:Q$139,MATCH($D71,'Start List'!$C$15:$C$139,0)))</f>
        <v/>
      </c>
      <c r="U71" s="80" t="str">
        <f>IF($D71="","",INDEX('Start List'!R$15:R$139,MATCH($D71,'Start List'!$C$15:$C$139,0)))</f>
        <v/>
      </c>
      <c r="V71" s="80" t="str">
        <f>IF($D71="","",INDEX('Start List'!S$15:S$139,MATCH($D71,'Start List'!$C$15:$C$139,0)))</f>
        <v/>
      </c>
      <c r="W71" s="80" t="str">
        <f>IF($D71="","",INDEX('Start List'!T$15:T$139,MATCH($D71,'Start List'!$C$15:$C$139,0)))</f>
        <v/>
      </c>
      <c r="X71" s="80" t="str">
        <f>IF($D71="","",INDEX('Start List'!U$15:U$139,MATCH($D71,'Start List'!$C$15:$C$139,0)))</f>
        <v/>
      </c>
      <c r="Y71" s="80" t="str">
        <f>IF($D71="","",INDEX('Start List'!V$15:V$139,MATCH($D71,'Start List'!$C$15:$C$139,0)))</f>
        <v/>
      </c>
      <c r="Z71" s="80" t="str">
        <f>IF($D71="","",INDEX('Start List'!W$15:W$139,MATCH($D71,'Start List'!$C$15:$C$139,0)))</f>
        <v/>
      </c>
      <c r="AA71" s="80" t="str">
        <f>IF($D71="","",INDEX('Start List'!X$15:X$139,MATCH($D71,'Start List'!$C$15:$C$139,0)))</f>
        <v/>
      </c>
      <c r="AB71" s="80" t="str">
        <f>IF($D71="","",INDEX('Start List'!Y$15:Y$139,MATCH($D71,'Start List'!$C$15:$C$139,0)))</f>
        <v/>
      </c>
    </row>
    <row r="72" spans="1:28" ht="12.75" customHeight="1" x14ac:dyDescent="0.2">
      <c r="A72" s="59" t="str">
        <f>IF(OR(COUNT('Start List'!A:A)+2='Men-Women'!A71,A71=""),"",'Men-Women'!A71+1)</f>
        <v/>
      </c>
      <c r="B72" s="228" t="str">
        <f>IF(A72="","",IF(COUNTIF($B$9:B71,$B$9)-1=COUNTIF('Start List'!C:C,"&gt;999"),'Start List'!$J$10,'Start List'!$J$9))</f>
        <v/>
      </c>
      <c r="C72" s="75" t="str">
        <f>IF(OR(B72="",COUNTIF($B$9:B72,B72)=1),"",COUNTIF($B$9:B72,B72)-1)</f>
        <v/>
      </c>
      <c r="D72" s="227" t="str">
        <f>IF(""=C72,"",IF(COUNTIF($D$9:D71,"")=2,LARGE('Start List'!C:C,A70),LARGE('Start List'!C:C,A71)))</f>
        <v/>
      </c>
      <c r="E72" s="79" t="str">
        <f>IF(C72="","",VLOOKUP(B72,Data!$AK$2:$AN$7,4,FALSE)&amp;C72)</f>
        <v/>
      </c>
      <c r="F72" s="80" t="str">
        <f>IF(COUNTIF(Data!$D$2:$D$97,'Men-Women'!$E72)=0,"",VLOOKUP('Men-Women'!$E72,Data!$D$2:$H$97,'Men-Women'!F$8,FALSE))</f>
        <v/>
      </c>
      <c r="G72" s="80" t="str">
        <f>IF(COUNTIF(Data!$D$2:$D$97,'Men-Women'!$E72)=0,"",VLOOKUP('Men-Women'!$E72,Data!$D$2:$H$97,'Men-Women'!G$8,FALSE))</f>
        <v/>
      </c>
      <c r="H72" s="80" t="str">
        <f>IF(COUNTIF(Data!$D$2:$D$97,'Men-Women'!$E72)=0,"",VLOOKUP('Men-Women'!$E72,Data!$D$2:$H$97,'Men-Women'!H$8,FALSE))</f>
        <v/>
      </c>
      <c r="I72" s="80" t="str">
        <f>IF(COUNTIF(Data!$D$2:$D$97,'Men-Women'!$E72)=0,"",VLOOKUP('Men-Women'!$E72,Data!$D$2:$H$97,'Men-Women'!I$8,FALSE))</f>
        <v/>
      </c>
      <c r="J72" s="77" t="str">
        <f>IF(B72&lt;&gt;B71,B72,IF($D72="","",INDEX('Start List'!$D$15:$D$139,MATCH($D72,'Start List'!$C$15:$C$139,0))))</f>
        <v/>
      </c>
      <c r="K72" s="77" t="str">
        <f>IF($D72="","",INDEX('Start List'!$E$15:$E$139,MATCH($D72,'Start List'!$C$15:$C$139,0)))</f>
        <v/>
      </c>
      <c r="L72" s="77" t="str">
        <f>IF($D72="","",INDEX('Start List'!$H$15:$H$139,MATCH($D72,'Start List'!$C$15:$C$139,0)))</f>
        <v/>
      </c>
      <c r="M72" s="79" t="str">
        <f>IF($D72="","",INDEX('Start List'!$F$15:$F$139,MATCH($D72,'Start List'!$C$15:$C$139,0)))</f>
        <v/>
      </c>
      <c r="N72" s="80" t="str">
        <f>IF($D72="","",INDEX('Start List'!K$15:K$139,MATCH($D72,'Start List'!$C$15:$C$139,0)))</f>
        <v/>
      </c>
      <c r="O72" s="80" t="str">
        <f>IF($D72="","",INDEX('Start List'!L$15:L$139,MATCH($D72,'Start List'!$C$15:$C$139,0)))</f>
        <v/>
      </c>
      <c r="P72" s="80" t="str">
        <f>IF($D72="","",INDEX('Start List'!M$15:M$139,MATCH($D72,'Start List'!$C$15:$C$139,0)))</f>
        <v/>
      </c>
      <c r="Q72" s="80" t="str">
        <f>IF($D72="","",INDEX('Start List'!N$15:N$139,MATCH($D72,'Start List'!$C$15:$C$139,0)))</f>
        <v/>
      </c>
      <c r="R72" s="80" t="str">
        <f>IF($D72="","",INDEX('Start List'!O$15:O$139,MATCH($D72,'Start List'!$C$15:$C$139,0)))</f>
        <v/>
      </c>
      <c r="S72" s="80" t="str">
        <f>IF($D72="","",INDEX('Start List'!P$15:P$139,MATCH($D72,'Start List'!$C$15:$C$139,0)))</f>
        <v/>
      </c>
      <c r="T72" s="80" t="str">
        <f>IF($D72="","",INDEX('Start List'!Q$15:Q$139,MATCH($D72,'Start List'!$C$15:$C$139,0)))</f>
        <v/>
      </c>
      <c r="U72" s="80" t="str">
        <f>IF($D72="","",INDEX('Start List'!R$15:R$139,MATCH($D72,'Start List'!$C$15:$C$139,0)))</f>
        <v/>
      </c>
      <c r="V72" s="80" t="str">
        <f>IF($D72="","",INDEX('Start List'!S$15:S$139,MATCH($D72,'Start List'!$C$15:$C$139,0)))</f>
        <v/>
      </c>
      <c r="W72" s="80" t="str">
        <f>IF($D72="","",INDEX('Start List'!T$15:T$139,MATCH($D72,'Start List'!$C$15:$C$139,0)))</f>
        <v/>
      </c>
      <c r="X72" s="80" t="str">
        <f>IF($D72="","",INDEX('Start List'!U$15:U$139,MATCH($D72,'Start List'!$C$15:$C$139,0)))</f>
        <v/>
      </c>
      <c r="Y72" s="80" t="str">
        <f>IF($D72="","",INDEX('Start List'!V$15:V$139,MATCH($D72,'Start List'!$C$15:$C$139,0)))</f>
        <v/>
      </c>
      <c r="Z72" s="80" t="str">
        <f>IF($D72="","",INDEX('Start List'!W$15:W$139,MATCH($D72,'Start List'!$C$15:$C$139,0)))</f>
        <v/>
      </c>
      <c r="AA72" s="80" t="str">
        <f>IF($D72="","",INDEX('Start List'!X$15:X$139,MATCH($D72,'Start List'!$C$15:$C$139,0)))</f>
        <v/>
      </c>
      <c r="AB72" s="80" t="str">
        <f>IF($D72="","",INDEX('Start List'!Y$15:Y$139,MATCH($D72,'Start List'!$C$15:$C$139,0)))</f>
        <v/>
      </c>
    </row>
    <row r="73" spans="1:28" ht="12.75" customHeight="1" x14ac:dyDescent="0.2">
      <c r="A73" s="59" t="str">
        <f>IF(OR(COUNT('Start List'!A:A)+2='Men-Women'!A72,A72=""),"",'Men-Women'!A72+1)</f>
        <v/>
      </c>
      <c r="B73" s="228" t="str">
        <f>IF(A73="","",IF(COUNTIF($B$9:B72,$B$9)-1=COUNTIF('Start List'!C:C,"&gt;999"),'Start List'!$J$10,'Start List'!$J$9))</f>
        <v/>
      </c>
      <c r="C73" s="75" t="str">
        <f>IF(OR(B73="",COUNTIF($B$9:B73,B73)=1),"",COUNTIF($B$9:B73,B73)-1)</f>
        <v/>
      </c>
      <c r="D73" s="227" t="str">
        <f>IF(""=C73,"",IF(COUNTIF($D$9:D72,"")=2,LARGE('Start List'!C:C,A71),LARGE('Start List'!C:C,A72)))</f>
        <v/>
      </c>
      <c r="E73" s="79" t="str">
        <f>IF(C73="","",VLOOKUP(B73,Data!$AK$2:$AN$7,4,FALSE)&amp;C73)</f>
        <v/>
      </c>
      <c r="F73" s="80" t="str">
        <f>IF(COUNTIF(Data!$D$2:$D$97,'Men-Women'!$E73)=0,"",VLOOKUP('Men-Women'!$E73,Data!$D$2:$H$97,'Men-Women'!F$8,FALSE))</f>
        <v/>
      </c>
      <c r="G73" s="80" t="str">
        <f>IF(COUNTIF(Data!$D$2:$D$97,'Men-Women'!$E73)=0,"",VLOOKUP('Men-Women'!$E73,Data!$D$2:$H$97,'Men-Women'!G$8,FALSE))</f>
        <v/>
      </c>
      <c r="H73" s="80" t="str">
        <f>IF(COUNTIF(Data!$D$2:$D$97,'Men-Women'!$E73)=0,"",VLOOKUP('Men-Women'!$E73,Data!$D$2:$H$97,'Men-Women'!H$8,FALSE))</f>
        <v/>
      </c>
      <c r="I73" s="80" t="str">
        <f>IF(COUNTIF(Data!$D$2:$D$97,'Men-Women'!$E73)=0,"",VLOOKUP('Men-Women'!$E73,Data!$D$2:$H$97,'Men-Women'!I$8,FALSE))</f>
        <v/>
      </c>
      <c r="J73" s="77" t="str">
        <f>IF(B73&lt;&gt;B72,B73,IF($D73="","",INDEX('Start List'!$D$15:$D$139,MATCH($D73,'Start List'!$C$15:$C$139,0))))</f>
        <v/>
      </c>
      <c r="K73" s="77" t="str">
        <f>IF($D73="","",INDEX('Start List'!$E$15:$E$139,MATCH($D73,'Start List'!$C$15:$C$139,0)))</f>
        <v/>
      </c>
      <c r="L73" s="77" t="str">
        <f>IF($D73="","",INDEX('Start List'!$H$15:$H$139,MATCH($D73,'Start List'!$C$15:$C$139,0)))</f>
        <v/>
      </c>
      <c r="M73" s="79" t="str">
        <f>IF($D73="","",INDEX('Start List'!$F$15:$F$139,MATCH($D73,'Start List'!$C$15:$C$139,0)))</f>
        <v/>
      </c>
      <c r="N73" s="80" t="str">
        <f>IF($D73="","",INDEX('Start List'!K$15:K$139,MATCH($D73,'Start List'!$C$15:$C$139,0)))</f>
        <v/>
      </c>
      <c r="O73" s="80" t="str">
        <f>IF($D73="","",INDEX('Start List'!L$15:L$139,MATCH($D73,'Start List'!$C$15:$C$139,0)))</f>
        <v/>
      </c>
      <c r="P73" s="80" t="str">
        <f>IF($D73="","",INDEX('Start List'!M$15:M$139,MATCH($D73,'Start List'!$C$15:$C$139,0)))</f>
        <v/>
      </c>
      <c r="Q73" s="80" t="str">
        <f>IF($D73="","",INDEX('Start List'!N$15:N$139,MATCH($D73,'Start List'!$C$15:$C$139,0)))</f>
        <v/>
      </c>
      <c r="R73" s="80" t="str">
        <f>IF($D73="","",INDEX('Start List'!O$15:O$139,MATCH($D73,'Start List'!$C$15:$C$139,0)))</f>
        <v/>
      </c>
      <c r="S73" s="80" t="str">
        <f>IF($D73="","",INDEX('Start List'!P$15:P$139,MATCH($D73,'Start List'!$C$15:$C$139,0)))</f>
        <v/>
      </c>
      <c r="T73" s="80" t="str">
        <f>IF($D73="","",INDEX('Start List'!Q$15:Q$139,MATCH($D73,'Start List'!$C$15:$C$139,0)))</f>
        <v/>
      </c>
      <c r="U73" s="80" t="str">
        <f>IF($D73="","",INDEX('Start List'!R$15:R$139,MATCH($D73,'Start List'!$C$15:$C$139,0)))</f>
        <v/>
      </c>
      <c r="V73" s="80" t="str">
        <f>IF($D73="","",INDEX('Start List'!S$15:S$139,MATCH($D73,'Start List'!$C$15:$C$139,0)))</f>
        <v/>
      </c>
      <c r="W73" s="80" t="str">
        <f>IF($D73="","",INDEX('Start List'!T$15:T$139,MATCH($D73,'Start List'!$C$15:$C$139,0)))</f>
        <v/>
      </c>
      <c r="X73" s="80" t="str">
        <f>IF($D73="","",INDEX('Start List'!U$15:U$139,MATCH($D73,'Start List'!$C$15:$C$139,0)))</f>
        <v/>
      </c>
      <c r="Y73" s="80" t="str">
        <f>IF($D73="","",INDEX('Start List'!V$15:V$139,MATCH($D73,'Start List'!$C$15:$C$139,0)))</f>
        <v/>
      </c>
      <c r="Z73" s="80" t="str">
        <f>IF($D73="","",INDEX('Start List'!W$15:W$139,MATCH($D73,'Start List'!$C$15:$C$139,0)))</f>
        <v/>
      </c>
      <c r="AA73" s="80" t="str">
        <f>IF($D73="","",INDEX('Start List'!X$15:X$139,MATCH($D73,'Start List'!$C$15:$C$139,0)))</f>
        <v/>
      </c>
      <c r="AB73" s="80" t="str">
        <f>IF($D73="","",INDEX('Start List'!Y$15:Y$139,MATCH($D73,'Start List'!$C$15:$C$139,0)))</f>
        <v/>
      </c>
    </row>
    <row r="74" spans="1:28" ht="12.75" customHeight="1" x14ac:dyDescent="0.2">
      <c r="A74" s="59" t="str">
        <f>IF(OR(COUNT('Start List'!A:A)+2='Men-Women'!A73,A73=""),"",'Men-Women'!A73+1)</f>
        <v/>
      </c>
      <c r="B74" s="228" t="str">
        <f>IF(A74="","",IF(COUNTIF($B$9:B73,$B$9)-1=COUNTIF('Start List'!C:C,"&gt;999"),'Start List'!$J$10,'Start List'!$J$9))</f>
        <v/>
      </c>
      <c r="C74" s="75" t="str">
        <f>IF(OR(B74="",COUNTIF($B$9:B74,B74)=1),"",COUNTIF($B$9:B74,B74)-1)</f>
        <v/>
      </c>
      <c r="D74" s="227" t="str">
        <f>IF(""=C74,"",IF(COUNTIF($D$9:D73,"")=2,LARGE('Start List'!C:C,A72),LARGE('Start List'!C:C,A73)))</f>
        <v/>
      </c>
      <c r="E74" s="79" t="str">
        <f>IF(C74="","",VLOOKUP(B74,Data!$AK$2:$AN$7,4,FALSE)&amp;C74)</f>
        <v/>
      </c>
      <c r="F74" s="80" t="str">
        <f>IF(COUNTIF(Data!$D$2:$D$97,'Men-Women'!$E74)=0,"",VLOOKUP('Men-Women'!$E74,Data!$D$2:$H$97,'Men-Women'!F$8,FALSE))</f>
        <v/>
      </c>
      <c r="G74" s="80" t="str">
        <f>IF(COUNTIF(Data!$D$2:$D$97,'Men-Women'!$E74)=0,"",VLOOKUP('Men-Women'!$E74,Data!$D$2:$H$97,'Men-Women'!G$8,FALSE))</f>
        <v/>
      </c>
      <c r="H74" s="80" t="str">
        <f>IF(COUNTIF(Data!$D$2:$D$97,'Men-Women'!$E74)=0,"",VLOOKUP('Men-Women'!$E74,Data!$D$2:$H$97,'Men-Women'!H$8,FALSE))</f>
        <v/>
      </c>
      <c r="I74" s="80" t="str">
        <f>IF(COUNTIF(Data!$D$2:$D$97,'Men-Women'!$E74)=0,"",VLOOKUP('Men-Women'!$E74,Data!$D$2:$H$97,'Men-Women'!I$8,FALSE))</f>
        <v/>
      </c>
      <c r="J74" s="77" t="str">
        <f>IF(B74&lt;&gt;B73,B74,IF($D74="","",INDEX('Start List'!$D$15:$D$139,MATCH($D74,'Start List'!$C$15:$C$139,0))))</f>
        <v/>
      </c>
      <c r="K74" s="77" t="str">
        <f>IF($D74="","",INDEX('Start List'!$E$15:$E$139,MATCH($D74,'Start List'!$C$15:$C$139,0)))</f>
        <v/>
      </c>
      <c r="L74" s="77" t="str">
        <f>IF($D74="","",INDEX('Start List'!$H$15:$H$139,MATCH($D74,'Start List'!$C$15:$C$139,0)))</f>
        <v/>
      </c>
      <c r="M74" s="79" t="str">
        <f>IF($D74="","",INDEX('Start List'!$F$15:$F$139,MATCH($D74,'Start List'!$C$15:$C$139,0)))</f>
        <v/>
      </c>
      <c r="N74" s="80" t="str">
        <f>IF($D74="","",INDEX('Start List'!K$15:K$139,MATCH($D74,'Start List'!$C$15:$C$139,0)))</f>
        <v/>
      </c>
      <c r="O74" s="80" t="str">
        <f>IF($D74="","",INDEX('Start List'!L$15:L$139,MATCH($D74,'Start List'!$C$15:$C$139,0)))</f>
        <v/>
      </c>
      <c r="P74" s="80" t="str">
        <f>IF($D74="","",INDEX('Start List'!M$15:M$139,MATCH($D74,'Start List'!$C$15:$C$139,0)))</f>
        <v/>
      </c>
      <c r="Q74" s="80" t="str">
        <f>IF($D74="","",INDEX('Start List'!N$15:N$139,MATCH($D74,'Start List'!$C$15:$C$139,0)))</f>
        <v/>
      </c>
      <c r="R74" s="80" t="str">
        <f>IF($D74="","",INDEX('Start List'!O$15:O$139,MATCH($D74,'Start List'!$C$15:$C$139,0)))</f>
        <v/>
      </c>
      <c r="S74" s="80" t="str">
        <f>IF($D74="","",INDEX('Start List'!P$15:P$139,MATCH($D74,'Start List'!$C$15:$C$139,0)))</f>
        <v/>
      </c>
      <c r="T74" s="80" t="str">
        <f>IF($D74="","",INDEX('Start List'!Q$15:Q$139,MATCH($D74,'Start List'!$C$15:$C$139,0)))</f>
        <v/>
      </c>
      <c r="U74" s="80" t="str">
        <f>IF($D74="","",INDEX('Start List'!R$15:R$139,MATCH($D74,'Start List'!$C$15:$C$139,0)))</f>
        <v/>
      </c>
      <c r="V74" s="80" t="str">
        <f>IF($D74="","",INDEX('Start List'!S$15:S$139,MATCH($D74,'Start List'!$C$15:$C$139,0)))</f>
        <v/>
      </c>
      <c r="W74" s="80" t="str">
        <f>IF($D74="","",INDEX('Start List'!T$15:T$139,MATCH($D74,'Start List'!$C$15:$C$139,0)))</f>
        <v/>
      </c>
      <c r="X74" s="80" t="str">
        <f>IF($D74="","",INDEX('Start List'!U$15:U$139,MATCH($D74,'Start List'!$C$15:$C$139,0)))</f>
        <v/>
      </c>
      <c r="Y74" s="80" t="str">
        <f>IF($D74="","",INDEX('Start List'!V$15:V$139,MATCH($D74,'Start List'!$C$15:$C$139,0)))</f>
        <v/>
      </c>
      <c r="Z74" s="80" t="str">
        <f>IF($D74="","",INDEX('Start List'!W$15:W$139,MATCH($D74,'Start List'!$C$15:$C$139,0)))</f>
        <v/>
      </c>
      <c r="AA74" s="80" t="str">
        <f>IF($D74="","",INDEX('Start List'!X$15:X$139,MATCH($D74,'Start List'!$C$15:$C$139,0)))</f>
        <v/>
      </c>
      <c r="AB74" s="80" t="str">
        <f>IF($D74="","",INDEX('Start List'!Y$15:Y$139,MATCH($D74,'Start List'!$C$15:$C$139,0)))</f>
        <v/>
      </c>
    </row>
    <row r="75" spans="1:28" ht="12.75" customHeight="1" x14ac:dyDescent="0.2">
      <c r="A75" s="59" t="str">
        <f>IF(OR(COUNT('Start List'!A:A)+2='Men-Women'!A74,A74=""),"",'Men-Women'!A74+1)</f>
        <v/>
      </c>
      <c r="B75" s="228" t="str">
        <f>IF(A75="","",IF(COUNTIF($B$9:B74,$B$9)-1=COUNTIF('Start List'!C:C,"&gt;999"),'Start List'!$J$10,'Start List'!$J$9))</f>
        <v/>
      </c>
      <c r="C75" s="75" t="str">
        <f>IF(OR(B75="",COUNTIF($B$9:B75,B75)=1),"",COUNTIF($B$9:B75,B75)-1)</f>
        <v/>
      </c>
      <c r="D75" s="227" t="str">
        <f>IF(""=C75,"",IF(COUNTIF($D$9:D74,"")=2,LARGE('Start List'!C:C,A73),LARGE('Start List'!C:C,A74)))</f>
        <v/>
      </c>
      <c r="E75" s="79" t="str">
        <f>IF(C75="","",VLOOKUP(B75,Data!$AK$2:$AN$7,4,FALSE)&amp;C75)</f>
        <v/>
      </c>
      <c r="F75" s="80" t="str">
        <f>IF(COUNTIF(Data!$D$2:$D$97,'Men-Women'!$E75)=0,"",VLOOKUP('Men-Women'!$E75,Data!$D$2:$H$97,'Men-Women'!F$8,FALSE))</f>
        <v/>
      </c>
      <c r="G75" s="80" t="str">
        <f>IF(COUNTIF(Data!$D$2:$D$97,'Men-Women'!$E75)=0,"",VLOOKUP('Men-Women'!$E75,Data!$D$2:$H$97,'Men-Women'!G$8,FALSE))</f>
        <v/>
      </c>
      <c r="H75" s="80" t="str">
        <f>IF(COUNTIF(Data!$D$2:$D$97,'Men-Women'!$E75)=0,"",VLOOKUP('Men-Women'!$E75,Data!$D$2:$H$97,'Men-Women'!H$8,FALSE))</f>
        <v/>
      </c>
      <c r="I75" s="80" t="str">
        <f>IF(COUNTIF(Data!$D$2:$D$97,'Men-Women'!$E75)=0,"",VLOOKUP('Men-Women'!$E75,Data!$D$2:$H$97,'Men-Women'!I$8,FALSE))</f>
        <v/>
      </c>
      <c r="J75" s="77" t="str">
        <f>IF(B75&lt;&gt;B74,B75,IF($D75="","",INDEX('Start List'!$D$15:$D$139,MATCH($D75,'Start List'!$C$15:$C$139,0))))</f>
        <v/>
      </c>
      <c r="K75" s="77" t="str">
        <f>IF($D75="","",INDEX('Start List'!$E$15:$E$139,MATCH($D75,'Start List'!$C$15:$C$139,0)))</f>
        <v/>
      </c>
      <c r="L75" s="77" t="str">
        <f>IF($D75="","",INDEX('Start List'!$H$15:$H$139,MATCH($D75,'Start List'!$C$15:$C$139,0)))</f>
        <v/>
      </c>
      <c r="M75" s="79" t="str">
        <f>IF($D75="","",INDEX('Start List'!$F$15:$F$139,MATCH($D75,'Start List'!$C$15:$C$139,0)))</f>
        <v/>
      </c>
      <c r="N75" s="80" t="str">
        <f>IF($D75="","",INDEX('Start List'!K$15:K$139,MATCH($D75,'Start List'!$C$15:$C$139,0)))</f>
        <v/>
      </c>
      <c r="O75" s="80" t="str">
        <f>IF($D75="","",INDEX('Start List'!L$15:L$139,MATCH($D75,'Start List'!$C$15:$C$139,0)))</f>
        <v/>
      </c>
      <c r="P75" s="80" t="str">
        <f>IF($D75="","",INDEX('Start List'!M$15:M$139,MATCH($D75,'Start List'!$C$15:$C$139,0)))</f>
        <v/>
      </c>
      <c r="Q75" s="80" t="str">
        <f>IF($D75="","",INDEX('Start List'!N$15:N$139,MATCH($D75,'Start List'!$C$15:$C$139,0)))</f>
        <v/>
      </c>
      <c r="R75" s="80" t="str">
        <f>IF($D75="","",INDEX('Start List'!O$15:O$139,MATCH($D75,'Start List'!$C$15:$C$139,0)))</f>
        <v/>
      </c>
      <c r="S75" s="80" t="str">
        <f>IF($D75="","",INDEX('Start List'!P$15:P$139,MATCH($D75,'Start List'!$C$15:$C$139,0)))</f>
        <v/>
      </c>
      <c r="T75" s="80" t="str">
        <f>IF($D75="","",INDEX('Start List'!Q$15:Q$139,MATCH($D75,'Start List'!$C$15:$C$139,0)))</f>
        <v/>
      </c>
      <c r="U75" s="80" t="str">
        <f>IF($D75="","",INDEX('Start List'!R$15:R$139,MATCH($D75,'Start List'!$C$15:$C$139,0)))</f>
        <v/>
      </c>
      <c r="V75" s="80" t="str">
        <f>IF($D75="","",INDEX('Start List'!S$15:S$139,MATCH($D75,'Start List'!$C$15:$C$139,0)))</f>
        <v/>
      </c>
      <c r="W75" s="80" t="str">
        <f>IF($D75="","",INDEX('Start List'!T$15:T$139,MATCH($D75,'Start List'!$C$15:$C$139,0)))</f>
        <v/>
      </c>
      <c r="X75" s="80" t="str">
        <f>IF($D75="","",INDEX('Start List'!U$15:U$139,MATCH($D75,'Start List'!$C$15:$C$139,0)))</f>
        <v/>
      </c>
      <c r="Y75" s="80" t="str">
        <f>IF($D75="","",INDEX('Start List'!V$15:V$139,MATCH($D75,'Start List'!$C$15:$C$139,0)))</f>
        <v/>
      </c>
      <c r="Z75" s="80" t="str">
        <f>IF($D75="","",INDEX('Start List'!W$15:W$139,MATCH($D75,'Start List'!$C$15:$C$139,0)))</f>
        <v/>
      </c>
      <c r="AA75" s="80" t="str">
        <f>IF($D75="","",INDEX('Start List'!X$15:X$139,MATCH($D75,'Start List'!$C$15:$C$139,0)))</f>
        <v/>
      </c>
      <c r="AB75" s="80" t="str">
        <f>IF($D75="","",INDEX('Start List'!Y$15:Y$139,MATCH($D75,'Start List'!$C$15:$C$139,0)))</f>
        <v/>
      </c>
    </row>
    <row r="76" spans="1:28" ht="12.75" x14ac:dyDescent="0.2">
      <c r="A76" s="59" t="str">
        <f>IF(OR(COUNT('Start List'!A:A)+2='Men-Women'!A75,A75=""),"",'Men-Women'!A75+1)</f>
        <v/>
      </c>
      <c r="B76" s="228" t="str">
        <f>IF(A76="","",IF(COUNTIF($B$9:B75,$B$9)-1=COUNTIF('Start List'!C:C,"&gt;999"),'Start List'!$J$10,'Start List'!$J$9))</f>
        <v/>
      </c>
      <c r="C76" s="75" t="str">
        <f>IF(OR(B76="",COUNTIF($B$9:B76,B76)=1),"",COUNTIF($B$9:B76,B76)-1)</f>
        <v/>
      </c>
      <c r="D76" s="227" t="str">
        <f>IF(""=C76,"",IF(COUNTIF($D$9:D75,"")=2,LARGE('Start List'!C:C,A74),LARGE('Start List'!C:C,A75)))</f>
        <v/>
      </c>
      <c r="E76" s="79" t="str">
        <f>IF(C76="","",VLOOKUP(B76,Data!$AK$2:$AN$7,4,FALSE)&amp;C76)</f>
        <v/>
      </c>
      <c r="F76" s="80" t="str">
        <f>IF(COUNTIF(Data!$D$2:$D$97,'Men-Women'!$E76)=0,"",VLOOKUP('Men-Women'!$E76,Data!$D$2:$H$97,'Men-Women'!F$8,FALSE))</f>
        <v/>
      </c>
      <c r="G76" s="80" t="str">
        <f>IF(COUNTIF(Data!$D$2:$D$97,'Men-Women'!$E76)=0,"",VLOOKUP('Men-Women'!$E76,Data!$D$2:$H$97,'Men-Women'!G$8,FALSE))</f>
        <v/>
      </c>
      <c r="H76" s="80" t="str">
        <f>IF(COUNTIF(Data!$D$2:$D$97,'Men-Women'!$E76)=0,"",VLOOKUP('Men-Women'!$E76,Data!$D$2:$H$97,'Men-Women'!H$8,FALSE))</f>
        <v/>
      </c>
      <c r="I76" s="80" t="str">
        <f>IF(COUNTIF(Data!$D$2:$D$97,'Men-Women'!$E76)=0,"",VLOOKUP('Men-Women'!$E76,Data!$D$2:$H$97,'Men-Women'!I$8,FALSE))</f>
        <v/>
      </c>
      <c r="J76" s="77" t="str">
        <f>IF(B76&lt;&gt;B75,B76,IF($D76="","",INDEX('Start List'!$D$15:$D$139,MATCH($D76,'Start List'!$C$15:$C$139,0))))</f>
        <v/>
      </c>
      <c r="K76" s="77" t="str">
        <f>IF($D76="","",INDEX('Start List'!$E$15:$E$139,MATCH($D76,'Start List'!$C$15:$C$139,0)))</f>
        <v/>
      </c>
      <c r="L76" s="77" t="str">
        <f>IF($D76="","",INDEX('Start List'!$H$15:$H$139,MATCH($D76,'Start List'!$C$15:$C$139,0)))</f>
        <v/>
      </c>
      <c r="M76" s="79" t="str">
        <f>IF($D76="","",INDEX('Start List'!$F$15:$F$139,MATCH($D76,'Start List'!$C$15:$C$139,0)))</f>
        <v/>
      </c>
      <c r="N76" s="80" t="str">
        <f>IF($D76="","",INDEX('Start List'!K$15:K$139,MATCH($D76,'Start List'!$C$15:$C$139,0)))</f>
        <v/>
      </c>
      <c r="O76" s="80" t="str">
        <f>IF($D76="","",INDEX('Start List'!L$15:L$139,MATCH($D76,'Start List'!$C$15:$C$139,0)))</f>
        <v/>
      </c>
      <c r="P76" s="80" t="str">
        <f>IF($D76="","",INDEX('Start List'!M$15:M$139,MATCH($D76,'Start List'!$C$15:$C$139,0)))</f>
        <v/>
      </c>
      <c r="Q76" s="80" t="str">
        <f>IF($D76="","",INDEX('Start List'!N$15:N$139,MATCH($D76,'Start List'!$C$15:$C$139,0)))</f>
        <v/>
      </c>
      <c r="R76" s="80" t="str">
        <f>IF($D76="","",INDEX('Start List'!O$15:O$139,MATCH($D76,'Start List'!$C$15:$C$139,0)))</f>
        <v/>
      </c>
      <c r="S76" s="80" t="str">
        <f>IF($D76="","",INDEX('Start List'!P$15:P$139,MATCH($D76,'Start List'!$C$15:$C$139,0)))</f>
        <v/>
      </c>
      <c r="T76" s="80" t="str">
        <f>IF($D76="","",INDEX('Start List'!Q$15:Q$139,MATCH($D76,'Start List'!$C$15:$C$139,0)))</f>
        <v/>
      </c>
      <c r="U76" s="80" t="str">
        <f>IF($D76="","",INDEX('Start List'!R$15:R$139,MATCH($D76,'Start List'!$C$15:$C$139,0)))</f>
        <v/>
      </c>
      <c r="V76" s="80" t="str">
        <f>IF($D76="","",INDEX('Start List'!S$15:S$139,MATCH($D76,'Start List'!$C$15:$C$139,0)))</f>
        <v/>
      </c>
      <c r="W76" s="80" t="str">
        <f>IF($D76="","",INDEX('Start List'!T$15:T$139,MATCH($D76,'Start List'!$C$15:$C$139,0)))</f>
        <v/>
      </c>
      <c r="X76" s="80" t="str">
        <f>IF($D76="","",INDEX('Start List'!U$15:U$139,MATCH($D76,'Start List'!$C$15:$C$139,0)))</f>
        <v/>
      </c>
      <c r="Y76" s="80" t="str">
        <f>IF($D76="","",INDEX('Start List'!V$15:V$139,MATCH($D76,'Start List'!$C$15:$C$139,0)))</f>
        <v/>
      </c>
      <c r="Z76" s="80" t="str">
        <f>IF($D76="","",INDEX('Start List'!W$15:W$139,MATCH($D76,'Start List'!$C$15:$C$139,0)))</f>
        <v/>
      </c>
      <c r="AA76" s="80" t="str">
        <f>IF($D76="","",INDEX('Start List'!X$15:X$139,MATCH($D76,'Start List'!$C$15:$C$139,0)))</f>
        <v/>
      </c>
      <c r="AB76" s="80" t="str">
        <f>IF($D76="","",INDEX('Start List'!Y$15:Y$139,MATCH($D76,'Start List'!$C$15:$C$139,0)))</f>
        <v/>
      </c>
    </row>
    <row r="77" spans="1:28" ht="12.75" x14ac:dyDescent="0.2">
      <c r="A77" s="59" t="str">
        <f>IF(OR(COUNT('Start List'!A:A)+2='Men-Women'!A76,A76=""),"",'Men-Women'!A76+1)</f>
        <v/>
      </c>
      <c r="B77" s="228" t="str">
        <f>IF(A77="","",IF(COUNTIF($B$9:B76,$B$9)-1=COUNTIF('Start List'!C:C,"&gt;999"),'Start List'!$J$10,'Start List'!$J$9))</f>
        <v/>
      </c>
      <c r="C77" s="75" t="str">
        <f>IF(OR(B77="",COUNTIF($B$9:B77,B77)=1),"",COUNTIF($B$9:B77,B77)-1)</f>
        <v/>
      </c>
      <c r="D77" s="227" t="str">
        <f>IF(""=C77,"",IF(COUNTIF($D$9:D76,"")=2,LARGE('Start List'!C:C,A75),LARGE('Start List'!C:C,A76)))</f>
        <v/>
      </c>
      <c r="E77" s="79" t="str">
        <f>IF(C77="","",VLOOKUP(B77,Data!$AK$2:$AN$7,4,FALSE)&amp;C77)</f>
        <v/>
      </c>
      <c r="F77" s="80" t="str">
        <f>IF(COUNTIF(Data!$D$2:$D$97,'Men-Women'!$E77)=0,"",VLOOKUP('Men-Women'!$E77,Data!$D$2:$H$97,'Men-Women'!F$8,FALSE))</f>
        <v/>
      </c>
      <c r="G77" s="80" t="str">
        <f>IF(COUNTIF(Data!$D$2:$D$97,'Men-Women'!$E77)=0,"",VLOOKUP('Men-Women'!$E77,Data!$D$2:$H$97,'Men-Women'!G$8,FALSE))</f>
        <v/>
      </c>
      <c r="H77" s="80" t="str">
        <f>IF(COUNTIF(Data!$D$2:$D$97,'Men-Women'!$E77)=0,"",VLOOKUP('Men-Women'!$E77,Data!$D$2:$H$97,'Men-Women'!H$8,FALSE))</f>
        <v/>
      </c>
      <c r="I77" s="80" t="str">
        <f>IF(COUNTIF(Data!$D$2:$D$97,'Men-Women'!$E77)=0,"",VLOOKUP('Men-Women'!$E77,Data!$D$2:$H$97,'Men-Women'!I$8,FALSE))</f>
        <v/>
      </c>
      <c r="J77" s="77" t="str">
        <f>IF(B77&lt;&gt;B76,B77,IF($D77="","",INDEX('Start List'!$D$15:$D$139,MATCH($D77,'Start List'!$C$15:$C$139,0))))</f>
        <v/>
      </c>
      <c r="K77" s="77" t="str">
        <f>IF($D77="","",INDEX('Start List'!$E$15:$E$139,MATCH($D77,'Start List'!$C$15:$C$139,0)))</f>
        <v/>
      </c>
      <c r="L77" s="77" t="str">
        <f>IF($D77="","",INDEX('Start List'!$H$15:$H$139,MATCH($D77,'Start List'!$C$15:$C$139,0)))</f>
        <v/>
      </c>
      <c r="M77" s="79" t="str">
        <f>IF($D77="","",INDEX('Start List'!$F$15:$F$139,MATCH($D77,'Start List'!$C$15:$C$139,0)))</f>
        <v/>
      </c>
      <c r="N77" s="80" t="str">
        <f>IF($D77="","",INDEX('Start List'!K$15:K$139,MATCH($D77,'Start List'!$C$15:$C$139,0)))</f>
        <v/>
      </c>
      <c r="O77" s="80" t="str">
        <f>IF($D77="","",INDEX('Start List'!L$15:L$139,MATCH($D77,'Start List'!$C$15:$C$139,0)))</f>
        <v/>
      </c>
      <c r="P77" s="80" t="str">
        <f>IF($D77="","",INDEX('Start List'!M$15:M$139,MATCH($D77,'Start List'!$C$15:$C$139,0)))</f>
        <v/>
      </c>
      <c r="Q77" s="80" t="str">
        <f>IF($D77="","",INDEX('Start List'!N$15:N$139,MATCH($D77,'Start List'!$C$15:$C$139,0)))</f>
        <v/>
      </c>
      <c r="R77" s="80" t="str">
        <f>IF($D77="","",INDEX('Start List'!O$15:O$139,MATCH($D77,'Start List'!$C$15:$C$139,0)))</f>
        <v/>
      </c>
      <c r="S77" s="80" t="str">
        <f>IF($D77="","",INDEX('Start List'!P$15:P$139,MATCH($D77,'Start List'!$C$15:$C$139,0)))</f>
        <v/>
      </c>
      <c r="T77" s="80" t="str">
        <f>IF($D77="","",INDEX('Start List'!Q$15:Q$139,MATCH($D77,'Start List'!$C$15:$C$139,0)))</f>
        <v/>
      </c>
      <c r="U77" s="80" t="str">
        <f>IF($D77="","",INDEX('Start List'!R$15:R$139,MATCH($D77,'Start List'!$C$15:$C$139,0)))</f>
        <v/>
      </c>
      <c r="V77" s="80" t="str">
        <f>IF($D77="","",INDEX('Start List'!S$15:S$139,MATCH($D77,'Start List'!$C$15:$C$139,0)))</f>
        <v/>
      </c>
      <c r="W77" s="80" t="str">
        <f>IF($D77="","",INDEX('Start List'!T$15:T$139,MATCH($D77,'Start List'!$C$15:$C$139,0)))</f>
        <v/>
      </c>
      <c r="X77" s="80" t="str">
        <f>IF($D77="","",INDEX('Start List'!U$15:U$139,MATCH($D77,'Start List'!$C$15:$C$139,0)))</f>
        <v/>
      </c>
      <c r="Y77" s="80" t="str">
        <f>IF($D77="","",INDEX('Start List'!V$15:V$139,MATCH($D77,'Start List'!$C$15:$C$139,0)))</f>
        <v/>
      </c>
      <c r="Z77" s="80" t="str">
        <f>IF($D77="","",INDEX('Start List'!W$15:W$139,MATCH($D77,'Start List'!$C$15:$C$139,0)))</f>
        <v/>
      </c>
      <c r="AA77" s="80" t="str">
        <f>IF($D77="","",INDEX('Start List'!X$15:X$139,MATCH($D77,'Start List'!$C$15:$C$139,0)))</f>
        <v/>
      </c>
      <c r="AB77" s="80" t="str">
        <f>IF($D77="","",INDEX('Start List'!Y$15:Y$139,MATCH($D77,'Start List'!$C$15:$C$139,0)))</f>
        <v/>
      </c>
    </row>
    <row r="78" spans="1:28" ht="12.75" x14ac:dyDescent="0.2">
      <c r="A78" s="59" t="str">
        <f>IF(OR(COUNT('Start List'!A:A)+2='Men-Women'!A77,A77=""),"",'Men-Women'!A77+1)</f>
        <v/>
      </c>
      <c r="B78" s="228" t="str">
        <f>IF(A78="","",IF(COUNTIF($B$9:B77,$B$9)-1=COUNTIF('Start List'!C:C,"&gt;999"),'Start List'!$J$10,'Start List'!$J$9))</f>
        <v/>
      </c>
      <c r="C78" s="75" t="str">
        <f>IF(OR(B78="",COUNTIF($B$9:B78,B78)=1),"",COUNTIF($B$9:B78,B78)-1)</f>
        <v/>
      </c>
      <c r="D78" s="227" t="str">
        <f>IF(""=C78,"",IF(COUNTIF($D$9:D77,"")=2,LARGE('Start List'!C:C,A76),LARGE('Start List'!C:C,A77)))</f>
        <v/>
      </c>
      <c r="E78" s="79" t="str">
        <f>IF(C78="","",VLOOKUP(B78,Data!$AK$2:$AN$7,4,FALSE)&amp;C78)</f>
        <v/>
      </c>
      <c r="F78" s="80" t="str">
        <f>IF(COUNTIF(Data!$D$2:$D$97,'Men-Women'!$E78)=0,"",VLOOKUP('Men-Women'!$E78,Data!$D$2:$H$97,'Men-Women'!F$8,FALSE))</f>
        <v/>
      </c>
      <c r="G78" s="80" t="str">
        <f>IF(COUNTIF(Data!$D$2:$D$97,'Men-Women'!$E78)=0,"",VLOOKUP('Men-Women'!$E78,Data!$D$2:$H$97,'Men-Women'!G$8,FALSE))</f>
        <v/>
      </c>
      <c r="H78" s="80" t="str">
        <f>IF(COUNTIF(Data!$D$2:$D$97,'Men-Women'!$E78)=0,"",VLOOKUP('Men-Women'!$E78,Data!$D$2:$H$97,'Men-Women'!H$8,FALSE))</f>
        <v/>
      </c>
      <c r="I78" s="80" t="str">
        <f>IF(COUNTIF(Data!$D$2:$D$97,'Men-Women'!$E78)=0,"",VLOOKUP('Men-Women'!$E78,Data!$D$2:$H$97,'Men-Women'!I$8,FALSE))</f>
        <v/>
      </c>
      <c r="J78" s="77" t="str">
        <f>IF(B78&lt;&gt;B77,B78,IF($D78="","",INDEX('Start List'!$D$15:$D$139,MATCH($D78,'Start List'!$C$15:$C$139,0))))</f>
        <v/>
      </c>
      <c r="K78" s="77" t="str">
        <f>IF($D78="","",INDEX('Start List'!$E$15:$E$139,MATCH($D78,'Start List'!$C$15:$C$139,0)))</f>
        <v/>
      </c>
      <c r="L78" s="77" t="str">
        <f>IF($D78="","",INDEX('Start List'!$H$15:$H$139,MATCH($D78,'Start List'!$C$15:$C$139,0)))</f>
        <v/>
      </c>
      <c r="M78" s="79" t="str">
        <f>IF($D78="","",INDEX('Start List'!$F$15:$F$139,MATCH($D78,'Start List'!$C$15:$C$139,0)))</f>
        <v/>
      </c>
      <c r="N78" s="80" t="str">
        <f>IF($D78="","",INDEX('Start List'!K$15:K$139,MATCH($D78,'Start List'!$C$15:$C$139,0)))</f>
        <v/>
      </c>
      <c r="O78" s="80" t="str">
        <f>IF($D78="","",INDEX('Start List'!L$15:L$139,MATCH($D78,'Start List'!$C$15:$C$139,0)))</f>
        <v/>
      </c>
      <c r="P78" s="80" t="str">
        <f>IF($D78="","",INDEX('Start List'!M$15:M$139,MATCH($D78,'Start List'!$C$15:$C$139,0)))</f>
        <v/>
      </c>
      <c r="Q78" s="80" t="str">
        <f>IF($D78="","",INDEX('Start List'!N$15:N$139,MATCH($D78,'Start List'!$C$15:$C$139,0)))</f>
        <v/>
      </c>
      <c r="R78" s="80" t="str">
        <f>IF($D78="","",INDEX('Start List'!O$15:O$139,MATCH($D78,'Start List'!$C$15:$C$139,0)))</f>
        <v/>
      </c>
      <c r="S78" s="80" t="str">
        <f>IF($D78="","",INDEX('Start List'!P$15:P$139,MATCH($D78,'Start List'!$C$15:$C$139,0)))</f>
        <v/>
      </c>
      <c r="T78" s="80" t="str">
        <f>IF($D78="","",INDEX('Start List'!Q$15:Q$139,MATCH($D78,'Start List'!$C$15:$C$139,0)))</f>
        <v/>
      </c>
      <c r="U78" s="80" t="str">
        <f>IF($D78="","",INDEX('Start List'!R$15:R$139,MATCH($D78,'Start List'!$C$15:$C$139,0)))</f>
        <v/>
      </c>
      <c r="V78" s="80" t="str">
        <f>IF($D78="","",INDEX('Start List'!S$15:S$139,MATCH($D78,'Start List'!$C$15:$C$139,0)))</f>
        <v/>
      </c>
      <c r="W78" s="80" t="str">
        <f>IF($D78="","",INDEX('Start List'!T$15:T$139,MATCH($D78,'Start List'!$C$15:$C$139,0)))</f>
        <v/>
      </c>
      <c r="X78" s="80" t="str">
        <f>IF($D78="","",INDEX('Start List'!U$15:U$139,MATCH($D78,'Start List'!$C$15:$C$139,0)))</f>
        <v/>
      </c>
      <c r="Y78" s="80" t="str">
        <f>IF($D78="","",INDEX('Start List'!V$15:V$139,MATCH($D78,'Start List'!$C$15:$C$139,0)))</f>
        <v/>
      </c>
      <c r="Z78" s="80" t="str">
        <f>IF($D78="","",INDEX('Start List'!W$15:W$139,MATCH($D78,'Start List'!$C$15:$C$139,0)))</f>
        <v/>
      </c>
      <c r="AA78" s="80" t="str">
        <f>IF($D78="","",INDEX('Start List'!X$15:X$139,MATCH($D78,'Start List'!$C$15:$C$139,0)))</f>
        <v/>
      </c>
      <c r="AB78" s="80" t="str">
        <f>IF($D78="","",INDEX('Start List'!Y$15:Y$139,MATCH($D78,'Start List'!$C$15:$C$139,0)))</f>
        <v/>
      </c>
    </row>
    <row r="79" spans="1:28" ht="12.75" x14ac:dyDescent="0.2">
      <c r="A79" s="59" t="str">
        <f>IF(OR(COUNT('Start List'!A:A)+2='Men-Women'!A78,A78=""),"",'Men-Women'!A78+1)</f>
        <v/>
      </c>
      <c r="B79" s="228" t="str">
        <f>IF(A79="","",IF(COUNTIF($B$9:B78,$B$9)-1=COUNTIF('Start List'!C:C,"&gt;999"),'Start List'!$J$10,'Start List'!$J$9))</f>
        <v/>
      </c>
      <c r="C79" s="75" t="str">
        <f>IF(OR(B79="",COUNTIF($B$9:B79,B79)=1),"",COUNTIF($B$9:B79,B79)-1)</f>
        <v/>
      </c>
      <c r="D79" s="227" t="str">
        <f>IF(""=C79,"",IF(COUNTIF($D$9:D78,"")=2,LARGE('Start List'!C:C,A77),LARGE('Start List'!C:C,A78)))</f>
        <v/>
      </c>
      <c r="E79" s="79" t="str">
        <f>IF(C79="","",VLOOKUP(B79,Data!$AK$2:$AN$7,4,FALSE)&amp;C79)</f>
        <v/>
      </c>
      <c r="F79" s="80" t="str">
        <f>IF(COUNTIF(Data!$D$2:$D$97,'Men-Women'!$E79)=0,"",VLOOKUP('Men-Women'!$E79,Data!$D$2:$H$97,'Men-Women'!F$8,FALSE))</f>
        <v/>
      </c>
      <c r="G79" s="80" t="str">
        <f>IF(COUNTIF(Data!$D$2:$D$97,'Men-Women'!$E79)=0,"",VLOOKUP('Men-Women'!$E79,Data!$D$2:$H$97,'Men-Women'!G$8,FALSE))</f>
        <v/>
      </c>
      <c r="H79" s="80" t="str">
        <f>IF(COUNTIF(Data!$D$2:$D$97,'Men-Women'!$E79)=0,"",VLOOKUP('Men-Women'!$E79,Data!$D$2:$H$97,'Men-Women'!H$8,FALSE))</f>
        <v/>
      </c>
      <c r="I79" s="80" t="str">
        <f>IF(COUNTIF(Data!$D$2:$D$97,'Men-Women'!$E79)=0,"",VLOOKUP('Men-Women'!$E79,Data!$D$2:$H$97,'Men-Women'!I$8,FALSE))</f>
        <v/>
      </c>
      <c r="J79" s="77" t="str">
        <f>IF(B79&lt;&gt;B78,B79,IF($D79="","",INDEX('Start List'!$D$15:$D$139,MATCH($D79,'Start List'!$C$15:$C$139,0))))</f>
        <v/>
      </c>
      <c r="K79" s="77" t="str">
        <f>IF($D79="","",INDEX('Start List'!$E$15:$E$139,MATCH($D79,'Start List'!$C$15:$C$139,0)))</f>
        <v/>
      </c>
      <c r="L79" s="77" t="str">
        <f>IF($D79="","",INDEX('Start List'!$H$15:$H$139,MATCH($D79,'Start List'!$C$15:$C$139,0)))</f>
        <v/>
      </c>
      <c r="M79" s="79" t="str">
        <f>IF($D79="","",INDEX('Start List'!$F$15:$F$139,MATCH($D79,'Start List'!$C$15:$C$139,0)))</f>
        <v/>
      </c>
      <c r="N79" s="80" t="str">
        <f>IF($D79="","",INDEX('Start List'!K$15:K$139,MATCH($D79,'Start List'!$C$15:$C$139,0)))</f>
        <v/>
      </c>
      <c r="O79" s="80" t="str">
        <f>IF($D79="","",INDEX('Start List'!L$15:L$139,MATCH($D79,'Start List'!$C$15:$C$139,0)))</f>
        <v/>
      </c>
      <c r="P79" s="80" t="str">
        <f>IF($D79="","",INDEX('Start List'!M$15:M$139,MATCH($D79,'Start List'!$C$15:$C$139,0)))</f>
        <v/>
      </c>
      <c r="Q79" s="80" t="str">
        <f>IF($D79="","",INDEX('Start List'!N$15:N$139,MATCH($D79,'Start List'!$C$15:$C$139,0)))</f>
        <v/>
      </c>
      <c r="R79" s="80" t="str">
        <f>IF($D79="","",INDEX('Start List'!O$15:O$139,MATCH($D79,'Start List'!$C$15:$C$139,0)))</f>
        <v/>
      </c>
      <c r="S79" s="80" t="str">
        <f>IF($D79="","",INDEX('Start List'!P$15:P$139,MATCH($D79,'Start List'!$C$15:$C$139,0)))</f>
        <v/>
      </c>
      <c r="T79" s="80" t="str">
        <f>IF($D79="","",INDEX('Start List'!Q$15:Q$139,MATCH($D79,'Start List'!$C$15:$C$139,0)))</f>
        <v/>
      </c>
      <c r="U79" s="80" t="str">
        <f>IF($D79="","",INDEX('Start List'!R$15:R$139,MATCH($D79,'Start List'!$C$15:$C$139,0)))</f>
        <v/>
      </c>
      <c r="V79" s="80" t="str">
        <f>IF($D79="","",INDEX('Start List'!S$15:S$139,MATCH($D79,'Start List'!$C$15:$C$139,0)))</f>
        <v/>
      </c>
      <c r="W79" s="80" t="str">
        <f>IF($D79="","",INDEX('Start List'!T$15:T$139,MATCH($D79,'Start List'!$C$15:$C$139,0)))</f>
        <v/>
      </c>
      <c r="X79" s="80" t="str">
        <f>IF($D79="","",INDEX('Start List'!U$15:U$139,MATCH($D79,'Start List'!$C$15:$C$139,0)))</f>
        <v/>
      </c>
      <c r="Y79" s="80" t="str">
        <f>IF($D79="","",INDEX('Start List'!V$15:V$139,MATCH($D79,'Start List'!$C$15:$C$139,0)))</f>
        <v/>
      </c>
      <c r="Z79" s="80" t="str">
        <f>IF($D79="","",INDEX('Start List'!W$15:W$139,MATCH($D79,'Start List'!$C$15:$C$139,0)))</f>
        <v/>
      </c>
      <c r="AA79" s="80" t="str">
        <f>IF($D79="","",INDEX('Start List'!X$15:X$139,MATCH($D79,'Start List'!$C$15:$C$139,0)))</f>
        <v/>
      </c>
      <c r="AB79" s="80" t="str">
        <f>IF($D79="","",INDEX('Start List'!Y$15:Y$139,MATCH($D79,'Start List'!$C$15:$C$139,0)))</f>
        <v/>
      </c>
    </row>
    <row r="80" spans="1:28" ht="12.75" x14ac:dyDescent="0.2">
      <c r="A80" s="59" t="str">
        <f>IF(OR(COUNT('Start List'!A:A)+2='Men-Women'!A79,A79=""),"",'Men-Women'!A79+1)</f>
        <v/>
      </c>
      <c r="B80" s="228" t="str">
        <f>IF(A80="","",IF(COUNTIF($B$9:B79,$B$9)-1=COUNTIF('Start List'!C:C,"&gt;999"),'Start List'!$J$10,'Start List'!$J$9))</f>
        <v/>
      </c>
      <c r="C80" s="75" t="str">
        <f>IF(OR(B80="",COUNTIF($B$9:B80,B80)=1),"",COUNTIF($B$9:B80,B80)-1)</f>
        <v/>
      </c>
      <c r="D80" s="227" t="str">
        <f>IF(""=C80,"",IF(COUNTIF($D$9:D79,"")=2,LARGE('Start List'!C:C,A78),LARGE('Start List'!C:C,A79)))</f>
        <v/>
      </c>
      <c r="E80" s="79" t="str">
        <f>IF(C80="","",VLOOKUP(B80,Data!$AK$2:$AN$7,4,FALSE)&amp;C80)</f>
        <v/>
      </c>
      <c r="F80" s="80" t="str">
        <f>IF(COUNTIF(Data!$D$2:$D$97,'Men-Women'!$E80)=0,"",VLOOKUP('Men-Women'!$E80,Data!$D$2:$H$97,'Men-Women'!F$8,FALSE))</f>
        <v/>
      </c>
      <c r="G80" s="80" t="str">
        <f>IF(COUNTIF(Data!$D$2:$D$97,'Men-Women'!$E80)=0,"",VLOOKUP('Men-Women'!$E80,Data!$D$2:$H$97,'Men-Women'!G$8,FALSE))</f>
        <v/>
      </c>
      <c r="H80" s="80" t="str">
        <f>IF(COUNTIF(Data!$D$2:$D$97,'Men-Women'!$E80)=0,"",VLOOKUP('Men-Women'!$E80,Data!$D$2:$H$97,'Men-Women'!H$8,FALSE))</f>
        <v/>
      </c>
      <c r="I80" s="80" t="str">
        <f>IF(COUNTIF(Data!$D$2:$D$97,'Men-Women'!$E80)=0,"",VLOOKUP('Men-Women'!$E80,Data!$D$2:$H$97,'Men-Women'!I$8,FALSE))</f>
        <v/>
      </c>
      <c r="J80" s="77" t="str">
        <f>IF(B80&lt;&gt;B79,B80,IF($D80="","",INDEX('Start List'!$D$15:$D$139,MATCH($D80,'Start List'!$C$15:$C$139,0))))</f>
        <v/>
      </c>
      <c r="K80" s="77" t="str">
        <f>IF($D80="","",INDEX('Start List'!$E$15:$E$139,MATCH($D80,'Start List'!$C$15:$C$139,0)))</f>
        <v/>
      </c>
      <c r="L80" s="77" t="str">
        <f>IF($D80="","",INDEX('Start List'!$H$15:$H$139,MATCH($D80,'Start List'!$C$15:$C$139,0)))</f>
        <v/>
      </c>
      <c r="M80" s="79" t="str">
        <f>IF($D80="","",INDEX('Start List'!$F$15:$F$139,MATCH($D80,'Start List'!$C$15:$C$139,0)))</f>
        <v/>
      </c>
      <c r="N80" s="80" t="str">
        <f>IF($D80="","",INDEX('Start List'!K$15:K$139,MATCH($D80,'Start List'!$C$15:$C$139,0)))</f>
        <v/>
      </c>
      <c r="O80" s="80" t="str">
        <f>IF($D80="","",INDEX('Start List'!L$15:L$139,MATCH($D80,'Start List'!$C$15:$C$139,0)))</f>
        <v/>
      </c>
      <c r="P80" s="80" t="str">
        <f>IF($D80="","",INDEX('Start List'!M$15:M$139,MATCH($D80,'Start List'!$C$15:$C$139,0)))</f>
        <v/>
      </c>
      <c r="Q80" s="80" t="str">
        <f>IF($D80="","",INDEX('Start List'!N$15:N$139,MATCH($D80,'Start List'!$C$15:$C$139,0)))</f>
        <v/>
      </c>
      <c r="R80" s="80" t="str">
        <f>IF($D80="","",INDEX('Start List'!O$15:O$139,MATCH($D80,'Start List'!$C$15:$C$139,0)))</f>
        <v/>
      </c>
      <c r="S80" s="80" t="str">
        <f>IF($D80="","",INDEX('Start List'!P$15:P$139,MATCH($D80,'Start List'!$C$15:$C$139,0)))</f>
        <v/>
      </c>
      <c r="T80" s="80" t="str">
        <f>IF($D80="","",INDEX('Start List'!Q$15:Q$139,MATCH($D80,'Start List'!$C$15:$C$139,0)))</f>
        <v/>
      </c>
      <c r="U80" s="80" t="str">
        <f>IF($D80="","",INDEX('Start List'!R$15:R$139,MATCH($D80,'Start List'!$C$15:$C$139,0)))</f>
        <v/>
      </c>
      <c r="V80" s="80" t="str">
        <f>IF($D80="","",INDEX('Start List'!S$15:S$139,MATCH($D80,'Start List'!$C$15:$C$139,0)))</f>
        <v/>
      </c>
      <c r="W80" s="80" t="str">
        <f>IF($D80="","",INDEX('Start List'!T$15:T$139,MATCH($D80,'Start List'!$C$15:$C$139,0)))</f>
        <v/>
      </c>
      <c r="X80" s="80" t="str">
        <f>IF($D80="","",INDEX('Start List'!U$15:U$139,MATCH($D80,'Start List'!$C$15:$C$139,0)))</f>
        <v/>
      </c>
      <c r="Y80" s="80" t="str">
        <f>IF($D80="","",INDEX('Start List'!V$15:V$139,MATCH($D80,'Start List'!$C$15:$C$139,0)))</f>
        <v/>
      </c>
      <c r="Z80" s="80" t="str">
        <f>IF($D80="","",INDEX('Start List'!W$15:W$139,MATCH($D80,'Start List'!$C$15:$C$139,0)))</f>
        <v/>
      </c>
      <c r="AA80" s="80" t="str">
        <f>IF($D80="","",INDEX('Start List'!X$15:X$139,MATCH($D80,'Start List'!$C$15:$C$139,0)))</f>
        <v/>
      </c>
      <c r="AB80" s="80" t="str">
        <f>IF($D80="","",INDEX('Start List'!Y$15:Y$139,MATCH($D80,'Start List'!$C$15:$C$139,0)))</f>
        <v/>
      </c>
    </row>
    <row r="81" spans="1:28" ht="12.75" x14ac:dyDescent="0.2">
      <c r="A81" s="59" t="str">
        <f>IF(OR(COUNT('Start List'!A:A)+2='Men-Women'!A80,A80=""),"",'Men-Women'!A80+1)</f>
        <v/>
      </c>
      <c r="B81" s="228" t="str">
        <f>IF(A81="","",IF(COUNTIF($B$9:B80,$B$9)-1=COUNTIF('Start List'!C:C,"&gt;999"),'Start List'!$J$10,'Start List'!$J$9))</f>
        <v/>
      </c>
      <c r="C81" s="75" t="str">
        <f>IF(OR(B81="",COUNTIF($B$9:B81,B81)=1),"",COUNTIF($B$9:B81,B81)-1)</f>
        <v/>
      </c>
      <c r="D81" s="227" t="str">
        <f>IF(""=C81,"",IF(COUNTIF($D$9:D80,"")=2,LARGE('Start List'!C:C,A79),LARGE('Start List'!C:C,A80)))</f>
        <v/>
      </c>
      <c r="E81" s="79" t="str">
        <f>IF(C81="","",VLOOKUP(B81,Data!$AK$2:$AN$7,4,FALSE)&amp;C81)</f>
        <v/>
      </c>
      <c r="F81" s="80" t="str">
        <f>IF(COUNTIF(Data!$D$2:$D$97,'Men-Women'!$E81)=0,"",VLOOKUP('Men-Women'!$E81,Data!$D$2:$H$97,'Men-Women'!F$8,FALSE))</f>
        <v/>
      </c>
      <c r="G81" s="80" t="str">
        <f>IF(COUNTIF(Data!$D$2:$D$97,'Men-Women'!$E81)=0,"",VLOOKUP('Men-Women'!$E81,Data!$D$2:$H$97,'Men-Women'!G$8,FALSE))</f>
        <v/>
      </c>
      <c r="H81" s="80" t="str">
        <f>IF(COUNTIF(Data!$D$2:$D$97,'Men-Women'!$E81)=0,"",VLOOKUP('Men-Women'!$E81,Data!$D$2:$H$97,'Men-Women'!H$8,FALSE))</f>
        <v/>
      </c>
      <c r="I81" s="80" t="str">
        <f>IF(COUNTIF(Data!$D$2:$D$97,'Men-Women'!$E81)=0,"",VLOOKUP('Men-Women'!$E81,Data!$D$2:$H$97,'Men-Women'!I$8,FALSE))</f>
        <v/>
      </c>
      <c r="J81" s="77" t="str">
        <f>IF(B81&lt;&gt;B80,B81,IF($D81="","",INDEX('Start List'!$D$15:$D$139,MATCH($D81,'Start List'!$C$15:$C$139,0))))</f>
        <v/>
      </c>
      <c r="K81" s="77" t="str">
        <f>IF($D81="","",INDEX('Start List'!$E$15:$E$139,MATCH($D81,'Start List'!$C$15:$C$139,0)))</f>
        <v/>
      </c>
      <c r="L81" s="77" t="str">
        <f>IF($D81="","",INDEX('Start List'!$H$15:$H$139,MATCH($D81,'Start List'!$C$15:$C$139,0)))</f>
        <v/>
      </c>
      <c r="M81" s="79" t="str">
        <f>IF($D81="","",INDEX('Start List'!$F$15:$F$139,MATCH($D81,'Start List'!$C$15:$C$139,0)))</f>
        <v/>
      </c>
      <c r="N81" s="80" t="str">
        <f>IF($D81="","",INDEX('Start List'!K$15:K$139,MATCH($D81,'Start List'!$C$15:$C$139,0)))</f>
        <v/>
      </c>
      <c r="O81" s="80" t="str">
        <f>IF($D81="","",INDEX('Start List'!L$15:L$139,MATCH($D81,'Start List'!$C$15:$C$139,0)))</f>
        <v/>
      </c>
      <c r="P81" s="80" t="str">
        <f>IF($D81="","",INDEX('Start List'!M$15:M$139,MATCH($D81,'Start List'!$C$15:$C$139,0)))</f>
        <v/>
      </c>
      <c r="Q81" s="80" t="str">
        <f>IF($D81="","",INDEX('Start List'!N$15:N$139,MATCH($D81,'Start List'!$C$15:$C$139,0)))</f>
        <v/>
      </c>
      <c r="R81" s="80" t="str">
        <f>IF($D81="","",INDEX('Start List'!O$15:O$139,MATCH($D81,'Start List'!$C$15:$C$139,0)))</f>
        <v/>
      </c>
      <c r="S81" s="80" t="str">
        <f>IF($D81="","",INDEX('Start List'!P$15:P$139,MATCH($D81,'Start List'!$C$15:$C$139,0)))</f>
        <v/>
      </c>
      <c r="T81" s="80" t="str">
        <f>IF($D81="","",INDEX('Start List'!Q$15:Q$139,MATCH($D81,'Start List'!$C$15:$C$139,0)))</f>
        <v/>
      </c>
      <c r="U81" s="80" t="str">
        <f>IF($D81="","",INDEX('Start List'!R$15:R$139,MATCH($D81,'Start List'!$C$15:$C$139,0)))</f>
        <v/>
      </c>
      <c r="V81" s="80" t="str">
        <f>IF($D81="","",INDEX('Start List'!S$15:S$139,MATCH($D81,'Start List'!$C$15:$C$139,0)))</f>
        <v/>
      </c>
      <c r="W81" s="80" t="str">
        <f>IF($D81="","",INDEX('Start List'!T$15:T$139,MATCH($D81,'Start List'!$C$15:$C$139,0)))</f>
        <v/>
      </c>
      <c r="X81" s="80" t="str">
        <f>IF($D81="","",INDEX('Start List'!U$15:U$139,MATCH($D81,'Start List'!$C$15:$C$139,0)))</f>
        <v/>
      </c>
      <c r="Y81" s="80" t="str">
        <f>IF($D81="","",INDEX('Start List'!V$15:V$139,MATCH($D81,'Start List'!$C$15:$C$139,0)))</f>
        <v/>
      </c>
      <c r="Z81" s="80" t="str">
        <f>IF($D81="","",INDEX('Start List'!W$15:W$139,MATCH($D81,'Start List'!$C$15:$C$139,0)))</f>
        <v/>
      </c>
      <c r="AA81" s="80" t="str">
        <f>IF($D81="","",INDEX('Start List'!X$15:X$139,MATCH($D81,'Start List'!$C$15:$C$139,0)))</f>
        <v/>
      </c>
      <c r="AB81" s="80" t="str">
        <f>IF($D81="","",INDEX('Start List'!Y$15:Y$139,MATCH($D81,'Start List'!$C$15:$C$139,0)))</f>
        <v/>
      </c>
    </row>
    <row r="82" spans="1:28" ht="12.75" x14ac:dyDescent="0.2">
      <c r="A82" s="59" t="str">
        <f>IF(OR(COUNT('Start List'!A:A)+2='Men-Women'!A81,A81=""),"",'Men-Women'!A81+1)</f>
        <v/>
      </c>
      <c r="B82" s="228" t="str">
        <f>IF(A82="","",IF(COUNTIF($B$9:B81,$B$9)-1=COUNTIF('Start List'!C:C,"&gt;999"),'Start List'!$J$10,'Start List'!$J$9))</f>
        <v/>
      </c>
      <c r="C82" s="75" t="str">
        <f>IF(OR(B82="",COUNTIF($B$9:B82,B82)=1),"",COUNTIF($B$9:B82,B82)-1)</f>
        <v/>
      </c>
      <c r="D82" s="227" t="str">
        <f>IF(""=C82,"",IF(COUNTIF($D$9:D81,"")=2,LARGE('Start List'!C:C,A80),LARGE('Start List'!C:C,A81)))</f>
        <v/>
      </c>
      <c r="E82" s="79" t="str">
        <f>IF(C82="","",VLOOKUP(B82,Data!$AK$2:$AN$7,4,FALSE)&amp;C82)</f>
        <v/>
      </c>
      <c r="F82" s="80" t="str">
        <f>IF(COUNTIF(Data!$D$2:$D$97,'Men-Women'!$E82)=0,"",VLOOKUP('Men-Women'!$E82,Data!$D$2:$H$97,'Men-Women'!F$8,FALSE))</f>
        <v/>
      </c>
      <c r="G82" s="80" t="str">
        <f>IF(COUNTIF(Data!$D$2:$D$97,'Men-Women'!$E82)=0,"",VLOOKUP('Men-Women'!$E82,Data!$D$2:$H$97,'Men-Women'!G$8,FALSE))</f>
        <v/>
      </c>
      <c r="H82" s="80" t="str">
        <f>IF(COUNTIF(Data!$D$2:$D$97,'Men-Women'!$E82)=0,"",VLOOKUP('Men-Women'!$E82,Data!$D$2:$H$97,'Men-Women'!H$8,FALSE))</f>
        <v/>
      </c>
      <c r="I82" s="80" t="str">
        <f>IF(COUNTIF(Data!$D$2:$D$97,'Men-Women'!$E82)=0,"",VLOOKUP('Men-Women'!$E82,Data!$D$2:$H$97,'Men-Women'!I$8,FALSE))</f>
        <v/>
      </c>
      <c r="J82" s="77" t="str">
        <f>IF(B82&lt;&gt;B81,B82,IF($D82="","",INDEX('Start List'!$D$15:$D$139,MATCH($D82,'Start List'!$C$15:$C$139,0))))</f>
        <v/>
      </c>
      <c r="K82" s="77" t="str">
        <f>IF($D82="","",INDEX('Start List'!$E$15:$E$139,MATCH($D82,'Start List'!$C$15:$C$139,0)))</f>
        <v/>
      </c>
      <c r="L82" s="77" t="str">
        <f>IF($D82="","",INDEX('Start List'!$H$15:$H$139,MATCH($D82,'Start List'!$C$15:$C$139,0)))</f>
        <v/>
      </c>
      <c r="M82" s="79" t="str">
        <f>IF($D82="","",INDEX('Start List'!$F$15:$F$139,MATCH($D82,'Start List'!$C$15:$C$139,0)))</f>
        <v/>
      </c>
      <c r="N82" s="80" t="str">
        <f>IF($D82="","",INDEX('Start List'!K$15:K$139,MATCH($D82,'Start List'!$C$15:$C$139,0)))</f>
        <v/>
      </c>
      <c r="O82" s="80" t="str">
        <f>IF($D82="","",INDEX('Start List'!L$15:L$139,MATCH($D82,'Start List'!$C$15:$C$139,0)))</f>
        <v/>
      </c>
      <c r="P82" s="80" t="str">
        <f>IF($D82="","",INDEX('Start List'!M$15:M$139,MATCH($D82,'Start List'!$C$15:$C$139,0)))</f>
        <v/>
      </c>
      <c r="Q82" s="80" t="str">
        <f>IF($D82="","",INDEX('Start List'!N$15:N$139,MATCH($D82,'Start List'!$C$15:$C$139,0)))</f>
        <v/>
      </c>
      <c r="R82" s="80" t="str">
        <f>IF($D82="","",INDEX('Start List'!O$15:O$139,MATCH($D82,'Start List'!$C$15:$C$139,0)))</f>
        <v/>
      </c>
      <c r="S82" s="80" t="str">
        <f>IF($D82="","",INDEX('Start List'!P$15:P$139,MATCH($D82,'Start List'!$C$15:$C$139,0)))</f>
        <v/>
      </c>
      <c r="T82" s="80" t="str">
        <f>IF($D82="","",INDEX('Start List'!Q$15:Q$139,MATCH($D82,'Start List'!$C$15:$C$139,0)))</f>
        <v/>
      </c>
      <c r="U82" s="80" t="str">
        <f>IF($D82="","",INDEX('Start List'!R$15:R$139,MATCH($D82,'Start List'!$C$15:$C$139,0)))</f>
        <v/>
      </c>
      <c r="V82" s="80" t="str">
        <f>IF($D82="","",INDEX('Start List'!S$15:S$139,MATCH($D82,'Start List'!$C$15:$C$139,0)))</f>
        <v/>
      </c>
      <c r="W82" s="80" t="str">
        <f>IF($D82="","",INDEX('Start List'!T$15:T$139,MATCH($D82,'Start List'!$C$15:$C$139,0)))</f>
        <v/>
      </c>
      <c r="X82" s="80" t="str">
        <f>IF($D82="","",INDEX('Start List'!U$15:U$139,MATCH($D82,'Start List'!$C$15:$C$139,0)))</f>
        <v/>
      </c>
      <c r="Y82" s="80" t="str">
        <f>IF($D82="","",INDEX('Start List'!V$15:V$139,MATCH($D82,'Start List'!$C$15:$C$139,0)))</f>
        <v/>
      </c>
      <c r="Z82" s="80" t="str">
        <f>IF($D82="","",INDEX('Start List'!W$15:W$139,MATCH($D82,'Start List'!$C$15:$C$139,0)))</f>
        <v/>
      </c>
      <c r="AA82" s="80" t="str">
        <f>IF($D82="","",INDEX('Start List'!X$15:X$139,MATCH($D82,'Start List'!$C$15:$C$139,0)))</f>
        <v/>
      </c>
      <c r="AB82" s="80" t="str">
        <f>IF($D82="","",INDEX('Start List'!Y$15:Y$139,MATCH($D82,'Start List'!$C$15:$C$139,0)))</f>
        <v/>
      </c>
    </row>
    <row r="83" spans="1:28" ht="12.75" x14ac:dyDescent="0.2">
      <c r="A83" s="59" t="str">
        <f>IF(OR(COUNT('Start List'!A:A)+2='Men-Women'!A82,A82=""),"",'Men-Women'!A82+1)</f>
        <v/>
      </c>
      <c r="B83" s="228" t="str">
        <f>IF(A83="","",IF(COUNTIF($B$9:B82,$B$9)-1=COUNTIF('Start List'!C:C,"&gt;999"),'Start List'!$J$10,'Start List'!$J$9))</f>
        <v/>
      </c>
      <c r="C83" s="75" t="str">
        <f>IF(OR(B83="",COUNTIF($B$9:B83,B83)=1),"",COUNTIF($B$9:B83,B83)-1)</f>
        <v/>
      </c>
      <c r="D83" s="227" t="str">
        <f>IF(""=C83,"",IF(COUNTIF($D$9:D82,"")=2,LARGE('Start List'!C:C,A81),LARGE('Start List'!C:C,A82)))</f>
        <v/>
      </c>
      <c r="E83" s="79" t="str">
        <f>IF(C83="","",VLOOKUP(B83,Data!$AK$2:$AN$7,4,FALSE)&amp;C83)</f>
        <v/>
      </c>
      <c r="F83" s="80" t="str">
        <f>IF(COUNTIF(Data!$D$2:$D$97,'Men-Women'!$E83)=0,"",VLOOKUP('Men-Women'!$E83,Data!$D$2:$H$97,'Men-Women'!F$8,FALSE))</f>
        <v/>
      </c>
      <c r="G83" s="80" t="str">
        <f>IF(COUNTIF(Data!$D$2:$D$97,'Men-Women'!$E83)=0,"",VLOOKUP('Men-Women'!$E83,Data!$D$2:$H$97,'Men-Women'!G$8,FALSE))</f>
        <v/>
      </c>
      <c r="H83" s="80" t="str">
        <f>IF(COUNTIF(Data!$D$2:$D$97,'Men-Women'!$E83)=0,"",VLOOKUP('Men-Women'!$E83,Data!$D$2:$H$97,'Men-Women'!H$8,FALSE))</f>
        <v/>
      </c>
      <c r="I83" s="80" t="str">
        <f>IF(COUNTIF(Data!$D$2:$D$97,'Men-Women'!$E83)=0,"",VLOOKUP('Men-Women'!$E83,Data!$D$2:$H$97,'Men-Women'!I$8,FALSE))</f>
        <v/>
      </c>
      <c r="J83" s="77" t="str">
        <f>IF(B83&lt;&gt;B82,B83,IF($D83="","",INDEX('Start List'!$D$15:$D$139,MATCH($D83,'Start List'!$C$15:$C$139,0))))</f>
        <v/>
      </c>
      <c r="K83" s="77" t="str">
        <f>IF($D83="","",INDEX('Start List'!$E$15:$E$139,MATCH($D83,'Start List'!$C$15:$C$139,0)))</f>
        <v/>
      </c>
      <c r="L83" s="77" t="str">
        <f>IF($D83="","",INDEX('Start List'!$H$15:$H$139,MATCH($D83,'Start List'!$C$15:$C$139,0)))</f>
        <v/>
      </c>
      <c r="M83" s="79" t="str">
        <f>IF($D83="","",INDEX('Start List'!$F$15:$F$139,MATCH($D83,'Start List'!$C$15:$C$139,0)))</f>
        <v/>
      </c>
      <c r="N83" s="80" t="str">
        <f>IF($D83="","",INDEX('Start List'!K$15:K$139,MATCH($D83,'Start List'!$C$15:$C$139,0)))</f>
        <v/>
      </c>
      <c r="O83" s="80" t="str">
        <f>IF($D83="","",INDEX('Start List'!L$15:L$139,MATCH($D83,'Start List'!$C$15:$C$139,0)))</f>
        <v/>
      </c>
      <c r="P83" s="80" t="str">
        <f>IF($D83="","",INDEX('Start List'!M$15:M$139,MATCH($D83,'Start List'!$C$15:$C$139,0)))</f>
        <v/>
      </c>
      <c r="Q83" s="80" t="str">
        <f>IF($D83="","",INDEX('Start List'!N$15:N$139,MATCH($D83,'Start List'!$C$15:$C$139,0)))</f>
        <v/>
      </c>
      <c r="R83" s="80" t="str">
        <f>IF($D83="","",INDEX('Start List'!O$15:O$139,MATCH($D83,'Start List'!$C$15:$C$139,0)))</f>
        <v/>
      </c>
      <c r="S83" s="80" t="str">
        <f>IF($D83="","",INDEX('Start List'!P$15:P$139,MATCH($D83,'Start List'!$C$15:$C$139,0)))</f>
        <v/>
      </c>
      <c r="T83" s="80" t="str">
        <f>IF($D83="","",INDEX('Start List'!Q$15:Q$139,MATCH($D83,'Start List'!$C$15:$C$139,0)))</f>
        <v/>
      </c>
      <c r="U83" s="80" t="str">
        <f>IF($D83="","",INDEX('Start List'!R$15:R$139,MATCH($D83,'Start List'!$C$15:$C$139,0)))</f>
        <v/>
      </c>
      <c r="V83" s="80" t="str">
        <f>IF($D83="","",INDEX('Start List'!S$15:S$139,MATCH($D83,'Start List'!$C$15:$C$139,0)))</f>
        <v/>
      </c>
      <c r="W83" s="80" t="str">
        <f>IF($D83="","",INDEX('Start List'!T$15:T$139,MATCH($D83,'Start List'!$C$15:$C$139,0)))</f>
        <v/>
      </c>
      <c r="X83" s="80" t="str">
        <f>IF($D83="","",INDEX('Start List'!U$15:U$139,MATCH($D83,'Start List'!$C$15:$C$139,0)))</f>
        <v/>
      </c>
      <c r="Y83" s="80" t="str">
        <f>IF($D83="","",INDEX('Start List'!V$15:V$139,MATCH($D83,'Start List'!$C$15:$C$139,0)))</f>
        <v/>
      </c>
      <c r="Z83" s="80" t="str">
        <f>IF($D83="","",INDEX('Start List'!W$15:W$139,MATCH($D83,'Start List'!$C$15:$C$139,0)))</f>
        <v/>
      </c>
      <c r="AA83" s="80" t="str">
        <f>IF($D83="","",INDEX('Start List'!X$15:X$139,MATCH($D83,'Start List'!$C$15:$C$139,0)))</f>
        <v/>
      </c>
      <c r="AB83" s="80" t="str">
        <f>IF($D83="","",INDEX('Start List'!Y$15:Y$139,MATCH($D83,'Start List'!$C$15:$C$139,0)))</f>
        <v/>
      </c>
    </row>
    <row r="84" spans="1:28" ht="12.75" x14ac:dyDescent="0.2">
      <c r="A84" s="59" t="str">
        <f>IF(OR(COUNT('Start List'!A:A)+2='Men-Women'!A83,A83=""),"",'Men-Women'!A83+1)</f>
        <v/>
      </c>
      <c r="B84" s="228" t="str">
        <f>IF(A84="","",IF(COUNTIF($B$9:B83,$B$9)-1=COUNTIF('Start List'!C:C,"&gt;999"),'Start List'!$J$10,'Start List'!$J$9))</f>
        <v/>
      </c>
      <c r="C84" s="75" t="str">
        <f>IF(OR(B84="",COUNTIF($B$9:B84,B84)=1),"",COUNTIF($B$9:B84,B84)-1)</f>
        <v/>
      </c>
      <c r="D84" s="227" t="str">
        <f>IF(""=C84,"",IF(COUNTIF($D$9:D83,"")=2,LARGE('Start List'!C:C,A82),LARGE('Start List'!C:C,A83)))</f>
        <v/>
      </c>
      <c r="E84" s="79" t="str">
        <f>IF(C84="","",VLOOKUP(B84,Data!$AK$2:$AN$7,4,FALSE)&amp;C84)</f>
        <v/>
      </c>
      <c r="F84" s="80" t="str">
        <f>IF(COUNTIF(Data!$D$2:$D$97,'Men-Women'!$E84)=0,"",VLOOKUP('Men-Women'!$E84,Data!$D$2:$H$97,'Men-Women'!F$8,FALSE))</f>
        <v/>
      </c>
      <c r="G84" s="80" t="str">
        <f>IF(COUNTIF(Data!$D$2:$D$97,'Men-Women'!$E84)=0,"",VLOOKUP('Men-Women'!$E84,Data!$D$2:$H$97,'Men-Women'!G$8,FALSE))</f>
        <v/>
      </c>
      <c r="H84" s="80" t="str">
        <f>IF(COUNTIF(Data!$D$2:$D$97,'Men-Women'!$E84)=0,"",VLOOKUP('Men-Women'!$E84,Data!$D$2:$H$97,'Men-Women'!H$8,FALSE))</f>
        <v/>
      </c>
      <c r="I84" s="80" t="str">
        <f>IF(COUNTIF(Data!$D$2:$D$97,'Men-Women'!$E84)=0,"",VLOOKUP('Men-Women'!$E84,Data!$D$2:$H$97,'Men-Women'!I$8,FALSE))</f>
        <v/>
      </c>
      <c r="J84" s="77" t="str">
        <f>IF(B84&lt;&gt;B83,B84,IF($D84="","",INDEX('Start List'!$D$15:$D$139,MATCH($D84,'Start List'!$C$15:$C$139,0))))</f>
        <v/>
      </c>
      <c r="K84" s="77" t="str">
        <f>IF($D84="","",INDEX('Start List'!$E$15:$E$139,MATCH($D84,'Start List'!$C$15:$C$139,0)))</f>
        <v/>
      </c>
      <c r="L84" s="77" t="str">
        <f>IF($D84="","",INDEX('Start List'!$H$15:$H$139,MATCH($D84,'Start List'!$C$15:$C$139,0)))</f>
        <v/>
      </c>
      <c r="M84" s="79" t="str">
        <f>IF($D84="","",INDEX('Start List'!$F$15:$F$139,MATCH($D84,'Start List'!$C$15:$C$139,0)))</f>
        <v/>
      </c>
      <c r="N84" s="80" t="str">
        <f>IF($D84="","",INDEX('Start List'!K$15:K$139,MATCH($D84,'Start List'!$C$15:$C$139,0)))</f>
        <v/>
      </c>
      <c r="O84" s="80" t="str">
        <f>IF($D84="","",INDEX('Start List'!L$15:L$139,MATCH($D84,'Start List'!$C$15:$C$139,0)))</f>
        <v/>
      </c>
      <c r="P84" s="80" t="str">
        <f>IF($D84="","",INDEX('Start List'!M$15:M$139,MATCH($D84,'Start List'!$C$15:$C$139,0)))</f>
        <v/>
      </c>
      <c r="Q84" s="80" t="str">
        <f>IF($D84="","",INDEX('Start List'!N$15:N$139,MATCH($D84,'Start List'!$C$15:$C$139,0)))</f>
        <v/>
      </c>
      <c r="R84" s="80" t="str">
        <f>IF($D84="","",INDEX('Start List'!O$15:O$139,MATCH($D84,'Start List'!$C$15:$C$139,0)))</f>
        <v/>
      </c>
      <c r="S84" s="80" t="str">
        <f>IF($D84="","",INDEX('Start List'!P$15:P$139,MATCH($D84,'Start List'!$C$15:$C$139,0)))</f>
        <v/>
      </c>
      <c r="T84" s="80" t="str">
        <f>IF($D84="","",INDEX('Start List'!Q$15:Q$139,MATCH($D84,'Start List'!$C$15:$C$139,0)))</f>
        <v/>
      </c>
      <c r="U84" s="80" t="str">
        <f>IF($D84="","",INDEX('Start List'!R$15:R$139,MATCH($D84,'Start List'!$C$15:$C$139,0)))</f>
        <v/>
      </c>
      <c r="V84" s="80" t="str">
        <f>IF($D84="","",INDEX('Start List'!S$15:S$139,MATCH($D84,'Start List'!$C$15:$C$139,0)))</f>
        <v/>
      </c>
      <c r="W84" s="80" t="str">
        <f>IF($D84="","",INDEX('Start List'!T$15:T$139,MATCH($D84,'Start List'!$C$15:$C$139,0)))</f>
        <v/>
      </c>
      <c r="X84" s="80" t="str">
        <f>IF($D84="","",INDEX('Start List'!U$15:U$139,MATCH($D84,'Start List'!$C$15:$C$139,0)))</f>
        <v/>
      </c>
      <c r="Y84" s="80" t="str">
        <f>IF($D84="","",INDEX('Start List'!V$15:V$139,MATCH($D84,'Start List'!$C$15:$C$139,0)))</f>
        <v/>
      </c>
      <c r="Z84" s="80" t="str">
        <f>IF($D84="","",INDEX('Start List'!W$15:W$139,MATCH($D84,'Start List'!$C$15:$C$139,0)))</f>
        <v/>
      </c>
      <c r="AA84" s="80" t="str">
        <f>IF($D84="","",INDEX('Start List'!X$15:X$139,MATCH($D84,'Start List'!$C$15:$C$139,0)))</f>
        <v/>
      </c>
      <c r="AB84" s="80" t="str">
        <f>IF($D84="","",INDEX('Start List'!Y$15:Y$139,MATCH($D84,'Start List'!$C$15:$C$139,0)))</f>
        <v/>
      </c>
    </row>
    <row r="85" spans="1:28" ht="12.75" x14ac:dyDescent="0.2">
      <c r="A85" s="59" t="str">
        <f>IF(OR(COUNT('Start List'!A:A)+2='Men-Women'!A84,A84=""),"",'Men-Women'!A84+1)</f>
        <v/>
      </c>
      <c r="B85" s="228" t="str">
        <f>IF(A85="","",IF(COUNTIF($B$9:B84,$B$9)-1=COUNTIF('Start List'!C:C,"&gt;999"),'Start List'!$J$10,'Start List'!$J$9))</f>
        <v/>
      </c>
      <c r="C85" s="75" t="str">
        <f>IF(OR(B85="",COUNTIF($B$9:B85,B85)=1),"",COUNTIF($B$9:B85,B85)-1)</f>
        <v/>
      </c>
      <c r="D85" s="227" t="str">
        <f>IF(""=C85,"",IF(COUNTIF($D$9:D84,"")=2,LARGE('Start List'!C:C,A83),LARGE('Start List'!C:C,A84)))</f>
        <v/>
      </c>
      <c r="E85" s="79" t="str">
        <f>IF(C85="","",VLOOKUP(B85,Data!$AK$2:$AN$7,4,FALSE)&amp;C85)</f>
        <v/>
      </c>
      <c r="F85" s="80" t="str">
        <f>IF(COUNTIF(Data!$D$2:$D$97,'Men-Women'!$E85)=0,"",VLOOKUP('Men-Women'!$E85,Data!$D$2:$H$97,'Men-Women'!F$8,FALSE))</f>
        <v/>
      </c>
      <c r="G85" s="80" t="str">
        <f>IF(COUNTIF(Data!$D$2:$D$97,'Men-Women'!$E85)=0,"",VLOOKUP('Men-Women'!$E85,Data!$D$2:$H$97,'Men-Women'!G$8,FALSE))</f>
        <v/>
      </c>
      <c r="H85" s="80" t="str">
        <f>IF(COUNTIF(Data!$D$2:$D$97,'Men-Women'!$E85)=0,"",VLOOKUP('Men-Women'!$E85,Data!$D$2:$H$97,'Men-Women'!H$8,FALSE))</f>
        <v/>
      </c>
      <c r="I85" s="80" t="str">
        <f>IF(COUNTIF(Data!$D$2:$D$97,'Men-Women'!$E85)=0,"",VLOOKUP('Men-Women'!$E85,Data!$D$2:$H$97,'Men-Women'!I$8,FALSE))</f>
        <v/>
      </c>
      <c r="J85" s="77" t="str">
        <f>IF(B85&lt;&gt;B84,B85,IF($D85="","",INDEX('Start List'!$D$15:$D$139,MATCH($D85,'Start List'!$C$15:$C$139,0))))</f>
        <v/>
      </c>
      <c r="K85" s="77" t="str">
        <f>IF($D85="","",INDEX('Start List'!$E$15:$E$139,MATCH($D85,'Start List'!$C$15:$C$139,0)))</f>
        <v/>
      </c>
      <c r="L85" s="77" t="str">
        <f>IF($D85="","",INDEX('Start List'!$H$15:$H$139,MATCH($D85,'Start List'!$C$15:$C$139,0)))</f>
        <v/>
      </c>
      <c r="M85" s="79" t="str">
        <f>IF($D85="","",INDEX('Start List'!$F$15:$F$139,MATCH($D85,'Start List'!$C$15:$C$139,0)))</f>
        <v/>
      </c>
      <c r="N85" s="80" t="str">
        <f>IF($D85="","",INDEX('Start List'!K$15:K$139,MATCH($D85,'Start List'!$C$15:$C$139,0)))</f>
        <v/>
      </c>
      <c r="O85" s="80" t="str">
        <f>IF($D85="","",INDEX('Start List'!L$15:L$139,MATCH($D85,'Start List'!$C$15:$C$139,0)))</f>
        <v/>
      </c>
      <c r="P85" s="80" t="str">
        <f>IF($D85="","",INDEX('Start List'!M$15:M$139,MATCH($D85,'Start List'!$C$15:$C$139,0)))</f>
        <v/>
      </c>
      <c r="Q85" s="80" t="str">
        <f>IF($D85="","",INDEX('Start List'!N$15:N$139,MATCH($D85,'Start List'!$C$15:$C$139,0)))</f>
        <v/>
      </c>
      <c r="R85" s="80" t="str">
        <f>IF($D85="","",INDEX('Start List'!O$15:O$139,MATCH($D85,'Start List'!$C$15:$C$139,0)))</f>
        <v/>
      </c>
      <c r="S85" s="80" t="str">
        <f>IF($D85="","",INDEX('Start List'!P$15:P$139,MATCH($D85,'Start List'!$C$15:$C$139,0)))</f>
        <v/>
      </c>
      <c r="T85" s="80" t="str">
        <f>IF($D85="","",INDEX('Start List'!Q$15:Q$139,MATCH($D85,'Start List'!$C$15:$C$139,0)))</f>
        <v/>
      </c>
      <c r="U85" s="80" t="str">
        <f>IF($D85="","",INDEX('Start List'!R$15:R$139,MATCH($D85,'Start List'!$C$15:$C$139,0)))</f>
        <v/>
      </c>
      <c r="V85" s="80" t="str">
        <f>IF($D85="","",INDEX('Start List'!S$15:S$139,MATCH($D85,'Start List'!$C$15:$C$139,0)))</f>
        <v/>
      </c>
      <c r="W85" s="80" t="str">
        <f>IF($D85="","",INDEX('Start List'!T$15:T$139,MATCH($D85,'Start List'!$C$15:$C$139,0)))</f>
        <v/>
      </c>
      <c r="X85" s="80" t="str">
        <f>IF($D85="","",INDEX('Start List'!U$15:U$139,MATCH($D85,'Start List'!$C$15:$C$139,0)))</f>
        <v/>
      </c>
      <c r="Y85" s="80" t="str">
        <f>IF($D85="","",INDEX('Start List'!V$15:V$139,MATCH($D85,'Start List'!$C$15:$C$139,0)))</f>
        <v/>
      </c>
      <c r="Z85" s="80" t="str">
        <f>IF($D85="","",INDEX('Start List'!W$15:W$139,MATCH($D85,'Start List'!$C$15:$C$139,0)))</f>
        <v/>
      </c>
      <c r="AA85" s="80" t="str">
        <f>IF($D85="","",INDEX('Start List'!X$15:X$139,MATCH($D85,'Start List'!$C$15:$C$139,0)))</f>
        <v/>
      </c>
      <c r="AB85" s="80" t="str">
        <f>IF($D85="","",INDEX('Start List'!Y$15:Y$139,MATCH($D85,'Start List'!$C$15:$C$139,0)))</f>
        <v/>
      </c>
    </row>
    <row r="86" spans="1:28" ht="12.75" x14ac:dyDescent="0.2">
      <c r="A86" s="59" t="str">
        <f>IF(OR(COUNT('Start List'!A:A)+2='Men-Women'!A85,A85=""),"",'Men-Women'!A85+1)</f>
        <v/>
      </c>
      <c r="B86" s="228" t="str">
        <f>IF(A86="","",IF(COUNTIF($B$9:B85,$B$9)-1=COUNTIF('Start List'!C:C,"&gt;999"),'Start List'!$J$10,'Start List'!$J$9))</f>
        <v/>
      </c>
      <c r="C86" s="75" t="str">
        <f>IF(OR(B86="",COUNTIF($B$9:B86,B86)=1),"",COUNTIF($B$9:B86,B86)-1)</f>
        <v/>
      </c>
      <c r="D86" s="227" t="str">
        <f>IF(""=C86,"",IF(COUNTIF($D$9:D85,"")=2,LARGE('Start List'!C:C,A84),LARGE('Start List'!C:C,A85)))</f>
        <v/>
      </c>
      <c r="E86" s="79" t="str">
        <f>IF(C86="","",VLOOKUP(B86,Data!$AK$2:$AN$7,4,FALSE)&amp;C86)</f>
        <v/>
      </c>
      <c r="F86" s="80" t="str">
        <f>IF(COUNTIF(Data!$D$2:$D$97,'Men-Women'!$E86)=0,"",VLOOKUP('Men-Women'!$E86,Data!$D$2:$H$97,'Men-Women'!F$8,FALSE))</f>
        <v/>
      </c>
      <c r="G86" s="80" t="str">
        <f>IF(COUNTIF(Data!$D$2:$D$97,'Men-Women'!$E86)=0,"",VLOOKUP('Men-Women'!$E86,Data!$D$2:$H$97,'Men-Women'!G$8,FALSE))</f>
        <v/>
      </c>
      <c r="H86" s="80" t="str">
        <f>IF(COUNTIF(Data!$D$2:$D$97,'Men-Women'!$E86)=0,"",VLOOKUP('Men-Women'!$E86,Data!$D$2:$H$97,'Men-Women'!H$8,FALSE))</f>
        <v/>
      </c>
      <c r="I86" s="80" t="str">
        <f>IF(COUNTIF(Data!$D$2:$D$97,'Men-Women'!$E86)=0,"",VLOOKUP('Men-Women'!$E86,Data!$D$2:$H$97,'Men-Women'!I$8,FALSE))</f>
        <v/>
      </c>
      <c r="J86" s="77" t="str">
        <f>IF(B86&lt;&gt;B85,B86,IF($D86="","",INDEX('Start List'!$D$15:$D$139,MATCH($D86,'Start List'!$C$15:$C$139,0))))</f>
        <v/>
      </c>
      <c r="K86" s="77" t="str">
        <f>IF($D86="","",INDEX('Start List'!$E$15:$E$139,MATCH($D86,'Start List'!$C$15:$C$139,0)))</f>
        <v/>
      </c>
      <c r="L86" s="77" t="str">
        <f>IF($D86="","",INDEX('Start List'!$H$15:$H$139,MATCH($D86,'Start List'!$C$15:$C$139,0)))</f>
        <v/>
      </c>
      <c r="M86" s="79" t="str">
        <f>IF($D86="","",INDEX('Start List'!$F$15:$F$139,MATCH($D86,'Start List'!$C$15:$C$139,0)))</f>
        <v/>
      </c>
      <c r="N86" s="80" t="str">
        <f>IF($D86="","",INDEX('Start List'!K$15:K$139,MATCH($D86,'Start List'!$C$15:$C$139,0)))</f>
        <v/>
      </c>
      <c r="O86" s="80" t="str">
        <f>IF($D86="","",INDEX('Start List'!L$15:L$139,MATCH($D86,'Start List'!$C$15:$C$139,0)))</f>
        <v/>
      </c>
      <c r="P86" s="80" t="str">
        <f>IF($D86="","",INDEX('Start List'!M$15:M$139,MATCH($D86,'Start List'!$C$15:$C$139,0)))</f>
        <v/>
      </c>
      <c r="Q86" s="80" t="str">
        <f>IF($D86="","",INDEX('Start List'!N$15:N$139,MATCH($D86,'Start List'!$C$15:$C$139,0)))</f>
        <v/>
      </c>
      <c r="R86" s="80" t="str">
        <f>IF($D86="","",INDEX('Start List'!O$15:O$139,MATCH($D86,'Start List'!$C$15:$C$139,0)))</f>
        <v/>
      </c>
      <c r="S86" s="80" t="str">
        <f>IF($D86="","",INDEX('Start List'!P$15:P$139,MATCH($D86,'Start List'!$C$15:$C$139,0)))</f>
        <v/>
      </c>
      <c r="T86" s="80" t="str">
        <f>IF($D86="","",INDEX('Start List'!Q$15:Q$139,MATCH($D86,'Start List'!$C$15:$C$139,0)))</f>
        <v/>
      </c>
      <c r="U86" s="80" t="str">
        <f>IF($D86="","",INDEX('Start List'!R$15:R$139,MATCH($D86,'Start List'!$C$15:$C$139,0)))</f>
        <v/>
      </c>
      <c r="V86" s="80" t="str">
        <f>IF($D86="","",INDEX('Start List'!S$15:S$139,MATCH($D86,'Start List'!$C$15:$C$139,0)))</f>
        <v/>
      </c>
      <c r="W86" s="80" t="str">
        <f>IF($D86="","",INDEX('Start List'!T$15:T$139,MATCH($D86,'Start List'!$C$15:$C$139,0)))</f>
        <v/>
      </c>
      <c r="X86" s="80" t="str">
        <f>IF($D86="","",INDEX('Start List'!U$15:U$139,MATCH($D86,'Start List'!$C$15:$C$139,0)))</f>
        <v/>
      </c>
      <c r="Y86" s="80" t="str">
        <f>IF($D86="","",INDEX('Start List'!V$15:V$139,MATCH($D86,'Start List'!$C$15:$C$139,0)))</f>
        <v/>
      </c>
      <c r="Z86" s="80" t="str">
        <f>IF($D86="","",INDEX('Start List'!W$15:W$139,MATCH($D86,'Start List'!$C$15:$C$139,0)))</f>
        <v/>
      </c>
      <c r="AA86" s="80" t="str">
        <f>IF($D86="","",INDEX('Start List'!X$15:X$139,MATCH($D86,'Start List'!$C$15:$C$139,0)))</f>
        <v/>
      </c>
      <c r="AB86" s="80" t="str">
        <f>IF($D86="","",INDEX('Start List'!Y$15:Y$139,MATCH($D86,'Start List'!$C$15:$C$139,0)))</f>
        <v/>
      </c>
    </row>
    <row r="87" spans="1:28" ht="12.75" x14ac:dyDescent="0.2">
      <c r="A87" s="59" t="str">
        <f>IF(OR(COUNT('Start List'!A:A)+2='Men-Women'!A86,A86=""),"",'Men-Women'!A86+1)</f>
        <v/>
      </c>
      <c r="B87" s="228" t="str">
        <f>IF(A87="","",IF(COUNTIF($B$9:B86,$B$9)-1=COUNTIF('Start List'!C:C,"&gt;999"),'Start List'!$J$10,'Start List'!$J$9))</f>
        <v/>
      </c>
      <c r="C87" s="75" t="str">
        <f>IF(OR(B87="",COUNTIF($B$9:B87,B87)=1),"",COUNTIF($B$9:B87,B87)-1)</f>
        <v/>
      </c>
      <c r="D87" s="227" t="str">
        <f>IF(""=C87,"",IF(COUNTIF($D$9:D86,"")=2,LARGE('Start List'!C:C,A85),LARGE('Start List'!C:C,A86)))</f>
        <v/>
      </c>
      <c r="E87" s="79" t="str">
        <f>IF(C87="","",VLOOKUP(B87,Data!$AK$2:$AN$7,4,FALSE)&amp;C87)</f>
        <v/>
      </c>
      <c r="F87" s="80" t="str">
        <f>IF(COUNTIF(Data!$D$2:$D$97,'Men-Women'!$E87)=0,"",VLOOKUP('Men-Women'!$E87,Data!$D$2:$H$97,'Men-Women'!F$8,FALSE))</f>
        <v/>
      </c>
      <c r="G87" s="80" t="str">
        <f>IF(COUNTIF(Data!$D$2:$D$97,'Men-Women'!$E87)=0,"",VLOOKUP('Men-Women'!$E87,Data!$D$2:$H$97,'Men-Women'!G$8,FALSE))</f>
        <v/>
      </c>
      <c r="H87" s="80" t="str">
        <f>IF(COUNTIF(Data!$D$2:$D$97,'Men-Women'!$E87)=0,"",VLOOKUP('Men-Women'!$E87,Data!$D$2:$H$97,'Men-Women'!H$8,FALSE))</f>
        <v/>
      </c>
      <c r="I87" s="80" t="str">
        <f>IF(COUNTIF(Data!$D$2:$D$97,'Men-Women'!$E87)=0,"",VLOOKUP('Men-Women'!$E87,Data!$D$2:$H$97,'Men-Women'!I$8,FALSE))</f>
        <v/>
      </c>
      <c r="J87" s="77" t="str">
        <f>IF(B87&lt;&gt;B86,B87,IF($D87="","",INDEX('Start List'!$D$15:$D$139,MATCH($D87,'Start List'!$C$15:$C$139,0))))</f>
        <v/>
      </c>
      <c r="K87" s="77" t="str">
        <f>IF($D87="","",INDEX('Start List'!$E$15:$E$139,MATCH($D87,'Start List'!$C$15:$C$139,0)))</f>
        <v/>
      </c>
      <c r="L87" s="77" t="str">
        <f>IF($D87="","",INDEX('Start List'!$H$15:$H$139,MATCH($D87,'Start List'!$C$15:$C$139,0)))</f>
        <v/>
      </c>
      <c r="M87" s="79" t="str">
        <f>IF($D87="","",INDEX('Start List'!$F$15:$F$139,MATCH($D87,'Start List'!$C$15:$C$139,0)))</f>
        <v/>
      </c>
      <c r="N87" s="80" t="str">
        <f>IF($D87="","",INDEX('Start List'!K$15:K$139,MATCH($D87,'Start List'!$C$15:$C$139,0)))</f>
        <v/>
      </c>
      <c r="O87" s="80" t="str">
        <f>IF($D87="","",INDEX('Start List'!L$15:L$139,MATCH($D87,'Start List'!$C$15:$C$139,0)))</f>
        <v/>
      </c>
      <c r="P87" s="80" t="str">
        <f>IF($D87="","",INDEX('Start List'!M$15:M$139,MATCH($D87,'Start List'!$C$15:$C$139,0)))</f>
        <v/>
      </c>
      <c r="Q87" s="80" t="str">
        <f>IF($D87="","",INDEX('Start List'!N$15:N$139,MATCH($D87,'Start List'!$C$15:$C$139,0)))</f>
        <v/>
      </c>
      <c r="R87" s="80" t="str">
        <f>IF($D87="","",INDEX('Start List'!O$15:O$139,MATCH($D87,'Start List'!$C$15:$C$139,0)))</f>
        <v/>
      </c>
      <c r="S87" s="80" t="str">
        <f>IF($D87="","",INDEX('Start List'!P$15:P$139,MATCH($D87,'Start List'!$C$15:$C$139,0)))</f>
        <v/>
      </c>
      <c r="T87" s="80" t="str">
        <f>IF($D87="","",INDEX('Start List'!Q$15:Q$139,MATCH($D87,'Start List'!$C$15:$C$139,0)))</f>
        <v/>
      </c>
      <c r="U87" s="80" t="str">
        <f>IF($D87="","",INDEX('Start List'!R$15:R$139,MATCH($D87,'Start List'!$C$15:$C$139,0)))</f>
        <v/>
      </c>
      <c r="V87" s="80" t="str">
        <f>IF($D87="","",INDEX('Start List'!S$15:S$139,MATCH($D87,'Start List'!$C$15:$C$139,0)))</f>
        <v/>
      </c>
      <c r="W87" s="80" t="str">
        <f>IF($D87="","",INDEX('Start List'!T$15:T$139,MATCH($D87,'Start List'!$C$15:$C$139,0)))</f>
        <v/>
      </c>
      <c r="X87" s="80" t="str">
        <f>IF($D87="","",INDEX('Start List'!U$15:U$139,MATCH($D87,'Start List'!$C$15:$C$139,0)))</f>
        <v/>
      </c>
      <c r="Y87" s="80" t="str">
        <f>IF($D87="","",INDEX('Start List'!V$15:V$139,MATCH($D87,'Start List'!$C$15:$C$139,0)))</f>
        <v/>
      </c>
      <c r="Z87" s="80" t="str">
        <f>IF($D87="","",INDEX('Start List'!W$15:W$139,MATCH($D87,'Start List'!$C$15:$C$139,0)))</f>
        <v/>
      </c>
      <c r="AA87" s="80" t="str">
        <f>IF($D87="","",INDEX('Start List'!X$15:X$139,MATCH($D87,'Start List'!$C$15:$C$139,0)))</f>
        <v/>
      </c>
      <c r="AB87" s="80" t="str">
        <f>IF($D87="","",INDEX('Start List'!Y$15:Y$139,MATCH($D87,'Start List'!$C$15:$C$139,0)))</f>
        <v/>
      </c>
    </row>
    <row r="88" spans="1:28" ht="12.75" x14ac:dyDescent="0.2">
      <c r="A88" s="59" t="str">
        <f>IF(OR(COUNT('Start List'!A:A)+2='Men-Women'!A87,A87=""),"",'Men-Women'!A87+1)</f>
        <v/>
      </c>
      <c r="B88" s="228" t="str">
        <f>IF(A88="","",IF(COUNTIF($B$9:B87,$B$9)-1=COUNTIF('Start List'!C:C,"&gt;999"),'Start List'!$J$10,'Start List'!$J$9))</f>
        <v/>
      </c>
      <c r="C88" s="75" t="str">
        <f>IF(OR(B88="",COUNTIF($B$9:B88,B88)=1),"",COUNTIF($B$9:B88,B88)-1)</f>
        <v/>
      </c>
      <c r="D88" s="227" t="str">
        <f>IF(""=C88,"",IF(COUNTIF($D$9:D87,"")=2,LARGE('Start List'!C:C,A86),LARGE('Start List'!C:C,A87)))</f>
        <v/>
      </c>
      <c r="E88" s="79" t="str">
        <f>IF(C88="","",VLOOKUP(B88,Data!$AK$2:$AN$7,4,FALSE)&amp;C88)</f>
        <v/>
      </c>
      <c r="F88" s="80" t="str">
        <f>IF(COUNTIF(Data!$D$2:$D$97,'Men-Women'!$E88)=0,"",VLOOKUP('Men-Women'!$E88,Data!$D$2:$H$97,'Men-Women'!F$8,FALSE))</f>
        <v/>
      </c>
      <c r="G88" s="80" t="str">
        <f>IF(COUNTIF(Data!$D$2:$D$97,'Men-Women'!$E88)=0,"",VLOOKUP('Men-Women'!$E88,Data!$D$2:$H$97,'Men-Women'!G$8,FALSE))</f>
        <v/>
      </c>
      <c r="H88" s="80" t="str">
        <f>IF(COUNTIF(Data!$D$2:$D$97,'Men-Women'!$E88)=0,"",VLOOKUP('Men-Women'!$E88,Data!$D$2:$H$97,'Men-Women'!H$8,FALSE))</f>
        <v/>
      </c>
      <c r="I88" s="80" t="str">
        <f>IF(COUNTIF(Data!$D$2:$D$97,'Men-Women'!$E88)=0,"",VLOOKUP('Men-Women'!$E88,Data!$D$2:$H$97,'Men-Women'!I$8,FALSE))</f>
        <v/>
      </c>
      <c r="J88" s="77" t="str">
        <f>IF(B88&lt;&gt;B87,B88,IF($D88="","",INDEX('Start List'!$D$15:$D$139,MATCH($D88,'Start List'!$C$15:$C$139,0))))</f>
        <v/>
      </c>
      <c r="K88" s="77" t="str">
        <f>IF($D88="","",INDEX('Start List'!$E$15:$E$139,MATCH($D88,'Start List'!$C$15:$C$139,0)))</f>
        <v/>
      </c>
      <c r="L88" s="77" t="str">
        <f>IF($D88="","",INDEX('Start List'!$H$15:$H$139,MATCH($D88,'Start List'!$C$15:$C$139,0)))</f>
        <v/>
      </c>
      <c r="M88" s="79" t="str">
        <f>IF($D88="","",INDEX('Start List'!$F$15:$F$139,MATCH($D88,'Start List'!$C$15:$C$139,0)))</f>
        <v/>
      </c>
      <c r="N88" s="80" t="str">
        <f>IF($D88="","",INDEX('Start List'!K$15:K$139,MATCH($D88,'Start List'!$C$15:$C$139,0)))</f>
        <v/>
      </c>
      <c r="O88" s="80" t="str">
        <f>IF($D88="","",INDEX('Start List'!L$15:L$139,MATCH($D88,'Start List'!$C$15:$C$139,0)))</f>
        <v/>
      </c>
      <c r="P88" s="80" t="str">
        <f>IF($D88="","",INDEX('Start List'!M$15:M$139,MATCH($D88,'Start List'!$C$15:$C$139,0)))</f>
        <v/>
      </c>
      <c r="Q88" s="80" t="str">
        <f>IF($D88="","",INDEX('Start List'!N$15:N$139,MATCH($D88,'Start List'!$C$15:$C$139,0)))</f>
        <v/>
      </c>
      <c r="R88" s="80" t="str">
        <f>IF($D88="","",INDEX('Start List'!O$15:O$139,MATCH($D88,'Start List'!$C$15:$C$139,0)))</f>
        <v/>
      </c>
      <c r="S88" s="80" t="str">
        <f>IF($D88="","",INDEX('Start List'!P$15:P$139,MATCH($D88,'Start List'!$C$15:$C$139,0)))</f>
        <v/>
      </c>
      <c r="T88" s="80" t="str">
        <f>IF($D88="","",INDEX('Start List'!Q$15:Q$139,MATCH($D88,'Start List'!$C$15:$C$139,0)))</f>
        <v/>
      </c>
      <c r="U88" s="80" t="str">
        <f>IF($D88="","",INDEX('Start List'!R$15:R$139,MATCH($D88,'Start List'!$C$15:$C$139,0)))</f>
        <v/>
      </c>
      <c r="V88" s="80" t="str">
        <f>IF($D88="","",INDEX('Start List'!S$15:S$139,MATCH($D88,'Start List'!$C$15:$C$139,0)))</f>
        <v/>
      </c>
      <c r="W88" s="80" t="str">
        <f>IF($D88="","",INDEX('Start List'!T$15:T$139,MATCH($D88,'Start List'!$C$15:$C$139,0)))</f>
        <v/>
      </c>
      <c r="X88" s="80" t="str">
        <f>IF($D88="","",INDEX('Start List'!U$15:U$139,MATCH($D88,'Start List'!$C$15:$C$139,0)))</f>
        <v/>
      </c>
      <c r="Y88" s="80" t="str">
        <f>IF($D88="","",INDEX('Start List'!V$15:V$139,MATCH($D88,'Start List'!$C$15:$C$139,0)))</f>
        <v/>
      </c>
      <c r="Z88" s="80" t="str">
        <f>IF($D88="","",INDEX('Start List'!W$15:W$139,MATCH($D88,'Start List'!$C$15:$C$139,0)))</f>
        <v/>
      </c>
      <c r="AA88" s="80" t="str">
        <f>IF($D88="","",INDEX('Start List'!X$15:X$139,MATCH($D88,'Start List'!$C$15:$C$139,0)))</f>
        <v/>
      </c>
      <c r="AB88" s="80" t="str">
        <f>IF($D88="","",INDEX('Start List'!Y$15:Y$139,MATCH($D88,'Start List'!$C$15:$C$139,0)))</f>
        <v/>
      </c>
    </row>
    <row r="89" spans="1:28" ht="12.75" x14ac:dyDescent="0.2">
      <c r="A89" s="59" t="str">
        <f>IF(OR(COUNT('Start List'!A:A)+2='Men-Women'!A88,A88=""),"",'Men-Women'!A88+1)</f>
        <v/>
      </c>
      <c r="B89" s="228" t="str">
        <f>IF(A89="","",IF(COUNTIF($B$9:B88,$B$9)-1=COUNTIF('Start List'!C:C,"&gt;999"),'Start List'!$J$10,'Start List'!$J$9))</f>
        <v/>
      </c>
      <c r="C89" s="75" t="str">
        <f>IF(OR(B89="",COUNTIF($B$9:B89,B89)=1),"",COUNTIF($B$9:B89,B89)-1)</f>
        <v/>
      </c>
      <c r="D89" s="227" t="str">
        <f>IF(""=C89,"",IF(COUNTIF($D$9:D88,"")=2,LARGE('Start List'!C:C,A87),LARGE('Start List'!C:C,A88)))</f>
        <v/>
      </c>
      <c r="E89" s="79" t="str">
        <f>IF(C89="","",VLOOKUP(B89,Data!$AK$2:$AN$7,4,FALSE)&amp;C89)</f>
        <v/>
      </c>
      <c r="F89" s="80" t="str">
        <f>IF(COUNTIF(Data!$D$2:$D$97,'Men-Women'!$E89)=0,"",VLOOKUP('Men-Women'!$E89,Data!$D$2:$H$97,'Men-Women'!F$8,FALSE))</f>
        <v/>
      </c>
      <c r="G89" s="80" t="str">
        <f>IF(COUNTIF(Data!$D$2:$D$97,'Men-Women'!$E89)=0,"",VLOOKUP('Men-Women'!$E89,Data!$D$2:$H$97,'Men-Women'!G$8,FALSE))</f>
        <v/>
      </c>
      <c r="H89" s="80" t="str">
        <f>IF(COUNTIF(Data!$D$2:$D$97,'Men-Women'!$E89)=0,"",VLOOKUP('Men-Women'!$E89,Data!$D$2:$H$97,'Men-Women'!H$8,FALSE))</f>
        <v/>
      </c>
      <c r="I89" s="80" t="str">
        <f>IF(COUNTIF(Data!$D$2:$D$97,'Men-Women'!$E89)=0,"",VLOOKUP('Men-Women'!$E89,Data!$D$2:$H$97,'Men-Women'!I$8,FALSE))</f>
        <v/>
      </c>
      <c r="J89" s="77" t="str">
        <f>IF(B89&lt;&gt;B88,B89,IF($D89="","",INDEX('Start List'!$D$15:$D$139,MATCH($D89,'Start List'!$C$15:$C$139,0))))</f>
        <v/>
      </c>
      <c r="K89" s="77" t="str">
        <f>IF($D89="","",INDEX('Start List'!$E$15:$E$139,MATCH($D89,'Start List'!$C$15:$C$139,0)))</f>
        <v/>
      </c>
      <c r="L89" s="77" t="str">
        <f>IF($D89="","",INDEX('Start List'!$H$15:$H$139,MATCH($D89,'Start List'!$C$15:$C$139,0)))</f>
        <v/>
      </c>
      <c r="M89" s="79" t="str">
        <f>IF($D89="","",INDEX('Start List'!$F$15:$F$139,MATCH($D89,'Start List'!$C$15:$C$139,0)))</f>
        <v/>
      </c>
      <c r="N89" s="80" t="str">
        <f>IF($D89="","",INDEX('Start List'!K$15:K$139,MATCH($D89,'Start List'!$C$15:$C$139,0)))</f>
        <v/>
      </c>
      <c r="O89" s="80" t="str">
        <f>IF($D89="","",INDEX('Start List'!L$15:L$139,MATCH($D89,'Start List'!$C$15:$C$139,0)))</f>
        <v/>
      </c>
      <c r="P89" s="80" t="str">
        <f>IF($D89="","",INDEX('Start List'!M$15:M$139,MATCH($D89,'Start List'!$C$15:$C$139,0)))</f>
        <v/>
      </c>
      <c r="Q89" s="80" t="str">
        <f>IF($D89="","",INDEX('Start List'!N$15:N$139,MATCH($D89,'Start List'!$C$15:$C$139,0)))</f>
        <v/>
      </c>
      <c r="R89" s="80" t="str">
        <f>IF($D89="","",INDEX('Start List'!O$15:O$139,MATCH($D89,'Start List'!$C$15:$C$139,0)))</f>
        <v/>
      </c>
      <c r="S89" s="80" t="str">
        <f>IF($D89="","",INDEX('Start List'!P$15:P$139,MATCH($D89,'Start List'!$C$15:$C$139,0)))</f>
        <v/>
      </c>
      <c r="T89" s="80" t="str">
        <f>IF($D89="","",INDEX('Start List'!Q$15:Q$139,MATCH($D89,'Start List'!$C$15:$C$139,0)))</f>
        <v/>
      </c>
      <c r="U89" s="80" t="str">
        <f>IF($D89="","",INDEX('Start List'!R$15:R$139,MATCH($D89,'Start List'!$C$15:$C$139,0)))</f>
        <v/>
      </c>
      <c r="V89" s="80" t="str">
        <f>IF($D89="","",INDEX('Start List'!S$15:S$139,MATCH($D89,'Start List'!$C$15:$C$139,0)))</f>
        <v/>
      </c>
      <c r="W89" s="80" t="str">
        <f>IF($D89="","",INDEX('Start List'!T$15:T$139,MATCH($D89,'Start List'!$C$15:$C$139,0)))</f>
        <v/>
      </c>
      <c r="X89" s="80" t="str">
        <f>IF($D89="","",INDEX('Start List'!U$15:U$139,MATCH($D89,'Start List'!$C$15:$C$139,0)))</f>
        <v/>
      </c>
      <c r="Y89" s="80" t="str">
        <f>IF($D89="","",INDEX('Start List'!V$15:V$139,MATCH($D89,'Start List'!$C$15:$C$139,0)))</f>
        <v/>
      </c>
      <c r="Z89" s="80" t="str">
        <f>IF($D89="","",INDEX('Start List'!W$15:W$139,MATCH($D89,'Start List'!$C$15:$C$139,0)))</f>
        <v/>
      </c>
      <c r="AA89" s="80" t="str">
        <f>IF($D89="","",INDEX('Start List'!X$15:X$139,MATCH($D89,'Start List'!$C$15:$C$139,0)))</f>
        <v/>
      </c>
      <c r="AB89" s="80" t="str">
        <f>IF($D89="","",INDEX('Start List'!Y$15:Y$139,MATCH($D89,'Start List'!$C$15:$C$139,0)))</f>
        <v/>
      </c>
    </row>
    <row r="90" spans="1:28" ht="12.75" x14ac:dyDescent="0.2">
      <c r="A90" s="59" t="str">
        <f>IF(OR(COUNT('Start List'!A:A)+2='Men-Women'!A89,A89=""),"",'Men-Women'!A89+1)</f>
        <v/>
      </c>
      <c r="B90" s="228" t="str">
        <f>IF(A90="","",IF(COUNTIF($B$9:B89,$B$9)-1=COUNTIF('Start List'!C:C,"&gt;999"),'Start List'!$J$10,'Start List'!$J$9))</f>
        <v/>
      </c>
      <c r="C90" s="75" t="str">
        <f>IF(OR(B90="",COUNTIF($B$9:B90,B90)=1),"",COUNTIF($B$9:B90,B90)-1)</f>
        <v/>
      </c>
      <c r="D90" s="227" t="str">
        <f>IF(""=C90,"",IF(COUNTIF($D$9:D89,"")=2,LARGE('Start List'!C:C,A88),LARGE('Start List'!C:C,A89)))</f>
        <v/>
      </c>
      <c r="E90" s="79" t="str">
        <f>IF(C90="","",VLOOKUP(B90,Data!$AK$2:$AN$7,4,FALSE)&amp;C90)</f>
        <v/>
      </c>
      <c r="F90" s="80" t="str">
        <f>IF(COUNTIF(Data!$D$2:$D$97,'Men-Women'!$E90)=0,"",VLOOKUP('Men-Women'!$E90,Data!$D$2:$H$97,'Men-Women'!F$8,FALSE))</f>
        <v/>
      </c>
      <c r="G90" s="80" t="str">
        <f>IF(COUNTIF(Data!$D$2:$D$97,'Men-Women'!$E90)=0,"",VLOOKUP('Men-Women'!$E90,Data!$D$2:$H$97,'Men-Women'!G$8,FALSE))</f>
        <v/>
      </c>
      <c r="H90" s="80" t="str">
        <f>IF(COUNTIF(Data!$D$2:$D$97,'Men-Women'!$E90)=0,"",VLOOKUP('Men-Women'!$E90,Data!$D$2:$H$97,'Men-Women'!H$8,FALSE))</f>
        <v/>
      </c>
      <c r="I90" s="80" t="str">
        <f>IF(COUNTIF(Data!$D$2:$D$97,'Men-Women'!$E90)=0,"",VLOOKUP('Men-Women'!$E90,Data!$D$2:$H$97,'Men-Women'!I$8,FALSE))</f>
        <v/>
      </c>
      <c r="J90" s="77" t="str">
        <f>IF(B90&lt;&gt;B89,B90,IF($D90="","",INDEX('Start List'!$D$15:$D$139,MATCH($D90,'Start List'!$C$15:$C$139,0))))</f>
        <v/>
      </c>
      <c r="K90" s="77" t="str">
        <f>IF($D90="","",INDEX('Start List'!$E$15:$E$139,MATCH($D90,'Start List'!$C$15:$C$139,0)))</f>
        <v/>
      </c>
      <c r="L90" s="77" t="str">
        <f>IF($D90="","",INDEX('Start List'!$H$15:$H$139,MATCH($D90,'Start List'!$C$15:$C$139,0)))</f>
        <v/>
      </c>
      <c r="M90" s="79" t="str">
        <f>IF($D90="","",INDEX('Start List'!$F$15:$F$139,MATCH($D90,'Start List'!$C$15:$C$139,0)))</f>
        <v/>
      </c>
      <c r="N90" s="80" t="str">
        <f>IF($D90="","",INDEX('Start List'!K$15:K$139,MATCH($D90,'Start List'!$C$15:$C$139,0)))</f>
        <v/>
      </c>
      <c r="O90" s="80" t="str">
        <f>IF($D90="","",INDEX('Start List'!L$15:L$139,MATCH($D90,'Start List'!$C$15:$C$139,0)))</f>
        <v/>
      </c>
      <c r="P90" s="80" t="str">
        <f>IF($D90="","",INDEX('Start List'!M$15:M$139,MATCH($D90,'Start List'!$C$15:$C$139,0)))</f>
        <v/>
      </c>
      <c r="Q90" s="80" t="str">
        <f>IF($D90="","",INDEX('Start List'!N$15:N$139,MATCH($D90,'Start List'!$C$15:$C$139,0)))</f>
        <v/>
      </c>
      <c r="R90" s="80" t="str">
        <f>IF($D90="","",INDEX('Start List'!O$15:O$139,MATCH($D90,'Start List'!$C$15:$C$139,0)))</f>
        <v/>
      </c>
      <c r="S90" s="80" t="str">
        <f>IF($D90="","",INDEX('Start List'!P$15:P$139,MATCH($D90,'Start List'!$C$15:$C$139,0)))</f>
        <v/>
      </c>
      <c r="T90" s="80" t="str">
        <f>IF($D90="","",INDEX('Start List'!Q$15:Q$139,MATCH($D90,'Start List'!$C$15:$C$139,0)))</f>
        <v/>
      </c>
      <c r="U90" s="80" t="str">
        <f>IF($D90="","",INDEX('Start List'!R$15:R$139,MATCH($D90,'Start List'!$C$15:$C$139,0)))</f>
        <v/>
      </c>
      <c r="V90" s="80" t="str">
        <f>IF($D90="","",INDEX('Start List'!S$15:S$139,MATCH($D90,'Start List'!$C$15:$C$139,0)))</f>
        <v/>
      </c>
      <c r="W90" s="80" t="str">
        <f>IF($D90="","",INDEX('Start List'!T$15:T$139,MATCH($D90,'Start List'!$C$15:$C$139,0)))</f>
        <v/>
      </c>
      <c r="X90" s="80" t="str">
        <f>IF($D90="","",INDEX('Start List'!U$15:U$139,MATCH($D90,'Start List'!$C$15:$C$139,0)))</f>
        <v/>
      </c>
      <c r="Y90" s="80" t="str">
        <f>IF($D90="","",INDEX('Start List'!V$15:V$139,MATCH($D90,'Start List'!$C$15:$C$139,0)))</f>
        <v/>
      </c>
      <c r="Z90" s="80" t="str">
        <f>IF($D90="","",INDEX('Start List'!W$15:W$139,MATCH($D90,'Start List'!$C$15:$C$139,0)))</f>
        <v/>
      </c>
      <c r="AA90" s="80" t="str">
        <f>IF($D90="","",INDEX('Start List'!X$15:X$139,MATCH($D90,'Start List'!$C$15:$C$139,0)))</f>
        <v/>
      </c>
      <c r="AB90" s="80" t="str">
        <f>IF($D90="","",INDEX('Start List'!Y$15:Y$139,MATCH($D90,'Start List'!$C$15:$C$139,0)))</f>
        <v/>
      </c>
    </row>
    <row r="91" spans="1:28" ht="12.75" x14ac:dyDescent="0.2">
      <c r="A91" s="59" t="str">
        <f>IF(OR(COUNT('Start List'!A:A)+2='Men-Women'!A90,A90=""),"",'Men-Women'!A90+1)</f>
        <v/>
      </c>
      <c r="B91" s="228" t="str">
        <f>IF(A91="","",IF(COUNTIF($B$9:B90,$B$9)-1=COUNTIF('Start List'!C:C,"&gt;999"),'Start List'!$J$10,'Start List'!$J$9))</f>
        <v/>
      </c>
      <c r="C91" s="75" t="str">
        <f>IF(OR(B91="",COUNTIF($B$9:B91,B91)=1),"",COUNTIF($B$9:B91,B91)-1)</f>
        <v/>
      </c>
      <c r="D91" s="227" t="str">
        <f>IF(""=C91,"",IF(COUNTIF($D$9:D90,"")=2,LARGE('Start List'!C:C,A89),LARGE('Start List'!C:C,A90)))</f>
        <v/>
      </c>
      <c r="E91" s="79" t="str">
        <f>IF(C91="","",VLOOKUP(B91,Data!$AK$2:$AN$7,4,FALSE)&amp;C91)</f>
        <v/>
      </c>
      <c r="F91" s="80" t="str">
        <f>IF(COUNTIF(Data!$D$2:$D$97,'Men-Women'!$E91)=0,"",VLOOKUP('Men-Women'!$E91,Data!$D$2:$H$97,'Men-Women'!F$8,FALSE))</f>
        <v/>
      </c>
      <c r="G91" s="80" t="str">
        <f>IF(COUNTIF(Data!$D$2:$D$97,'Men-Women'!$E91)=0,"",VLOOKUP('Men-Women'!$E91,Data!$D$2:$H$97,'Men-Women'!G$8,FALSE))</f>
        <v/>
      </c>
      <c r="H91" s="80" t="str">
        <f>IF(COUNTIF(Data!$D$2:$D$97,'Men-Women'!$E91)=0,"",VLOOKUP('Men-Women'!$E91,Data!$D$2:$H$97,'Men-Women'!H$8,FALSE))</f>
        <v/>
      </c>
      <c r="I91" s="80" t="str">
        <f>IF(COUNTIF(Data!$D$2:$D$97,'Men-Women'!$E91)=0,"",VLOOKUP('Men-Women'!$E91,Data!$D$2:$H$97,'Men-Women'!I$8,FALSE))</f>
        <v/>
      </c>
      <c r="J91" s="77" t="str">
        <f>IF(B91&lt;&gt;B90,B91,IF($D91="","",INDEX('Start List'!$D$15:$D$139,MATCH($D91,'Start List'!$C$15:$C$139,0))))</f>
        <v/>
      </c>
      <c r="K91" s="77" t="str">
        <f>IF($D91="","",INDEX('Start List'!$E$15:$E$139,MATCH($D91,'Start List'!$C$15:$C$139,0)))</f>
        <v/>
      </c>
      <c r="L91" s="77" t="str">
        <f>IF($D91="","",INDEX('Start List'!$H$15:$H$139,MATCH($D91,'Start List'!$C$15:$C$139,0)))</f>
        <v/>
      </c>
      <c r="M91" s="79" t="str">
        <f>IF($D91="","",INDEX('Start List'!$F$15:$F$139,MATCH($D91,'Start List'!$C$15:$C$139,0)))</f>
        <v/>
      </c>
      <c r="N91" s="80" t="str">
        <f>IF($D91="","",INDEX('Start List'!K$15:K$139,MATCH($D91,'Start List'!$C$15:$C$139,0)))</f>
        <v/>
      </c>
      <c r="O91" s="80" t="str">
        <f>IF($D91="","",INDEX('Start List'!L$15:L$139,MATCH($D91,'Start List'!$C$15:$C$139,0)))</f>
        <v/>
      </c>
      <c r="P91" s="80" t="str">
        <f>IF($D91="","",INDEX('Start List'!M$15:M$139,MATCH($D91,'Start List'!$C$15:$C$139,0)))</f>
        <v/>
      </c>
      <c r="Q91" s="80" t="str">
        <f>IF($D91="","",INDEX('Start List'!N$15:N$139,MATCH($D91,'Start List'!$C$15:$C$139,0)))</f>
        <v/>
      </c>
      <c r="R91" s="80" t="str">
        <f>IF($D91="","",INDEX('Start List'!O$15:O$139,MATCH($D91,'Start List'!$C$15:$C$139,0)))</f>
        <v/>
      </c>
      <c r="S91" s="80" t="str">
        <f>IF($D91="","",INDEX('Start List'!P$15:P$139,MATCH($D91,'Start List'!$C$15:$C$139,0)))</f>
        <v/>
      </c>
      <c r="T91" s="80" t="str">
        <f>IF($D91="","",INDEX('Start List'!Q$15:Q$139,MATCH($D91,'Start List'!$C$15:$C$139,0)))</f>
        <v/>
      </c>
      <c r="U91" s="80" t="str">
        <f>IF($D91="","",INDEX('Start List'!R$15:R$139,MATCH($D91,'Start List'!$C$15:$C$139,0)))</f>
        <v/>
      </c>
      <c r="V91" s="80" t="str">
        <f>IF($D91="","",INDEX('Start List'!S$15:S$139,MATCH($D91,'Start List'!$C$15:$C$139,0)))</f>
        <v/>
      </c>
      <c r="W91" s="80" t="str">
        <f>IF($D91="","",INDEX('Start List'!T$15:T$139,MATCH($D91,'Start List'!$C$15:$C$139,0)))</f>
        <v/>
      </c>
      <c r="X91" s="80" t="str">
        <f>IF($D91="","",INDEX('Start List'!U$15:U$139,MATCH($D91,'Start List'!$C$15:$C$139,0)))</f>
        <v/>
      </c>
      <c r="Y91" s="80" t="str">
        <f>IF($D91="","",INDEX('Start List'!V$15:V$139,MATCH($D91,'Start List'!$C$15:$C$139,0)))</f>
        <v/>
      </c>
      <c r="Z91" s="80" t="str">
        <f>IF($D91="","",INDEX('Start List'!W$15:W$139,MATCH($D91,'Start List'!$C$15:$C$139,0)))</f>
        <v/>
      </c>
      <c r="AA91" s="80" t="str">
        <f>IF($D91="","",INDEX('Start List'!X$15:X$139,MATCH($D91,'Start List'!$C$15:$C$139,0)))</f>
        <v/>
      </c>
      <c r="AB91" s="80" t="str">
        <f>IF($D91="","",INDEX('Start List'!Y$15:Y$139,MATCH($D91,'Start List'!$C$15:$C$139,0)))</f>
        <v/>
      </c>
    </row>
    <row r="92" spans="1:28" ht="12.75" x14ac:dyDescent="0.2">
      <c r="A92" s="59" t="str">
        <f>IF(OR(COUNT('Start List'!A:A)+2='Men-Women'!A91,A91=""),"",'Men-Women'!A91+1)</f>
        <v/>
      </c>
      <c r="B92" s="228" t="str">
        <f>IF(A92="","",IF(COUNTIF($B$9:B91,$B$9)-1=COUNTIF('Start List'!C:C,"&gt;999"),'Start List'!$J$10,'Start List'!$J$9))</f>
        <v/>
      </c>
      <c r="C92" s="75" t="str">
        <f>IF(OR(B92="",COUNTIF($B$9:B92,B92)=1),"",COUNTIF($B$9:B92,B92)-1)</f>
        <v/>
      </c>
      <c r="D92" s="227" t="str">
        <f>IF(""=C92,"",IF(COUNTIF($D$9:D91,"")=2,LARGE('Start List'!C:C,A90),LARGE('Start List'!C:C,A91)))</f>
        <v/>
      </c>
      <c r="E92" s="79" t="str">
        <f>IF(C92="","",VLOOKUP(B92,Data!$AK$2:$AN$7,4,FALSE)&amp;C92)</f>
        <v/>
      </c>
      <c r="F92" s="80" t="str">
        <f>IF(COUNTIF(Data!$D$2:$D$97,'Men-Women'!$E92)=0,"",VLOOKUP('Men-Women'!$E92,Data!$D$2:$H$97,'Men-Women'!F$8,FALSE))</f>
        <v/>
      </c>
      <c r="G92" s="80" t="str">
        <f>IF(COUNTIF(Data!$D$2:$D$97,'Men-Women'!$E92)=0,"",VLOOKUP('Men-Women'!$E92,Data!$D$2:$H$97,'Men-Women'!G$8,FALSE))</f>
        <v/>
      </c>
      <c r="H92" s="80" t="str">
        <f>IF(COUNTIF(Data!$D$2:$D$97,'Men-Women'!$E92)=0,"",VLOOKUP('Men-Women'!$E92,Data!$D$2:$H$97,'Men-Women'!H$8,FALSE))</f>
        <v/>
      </c>
      <c r="I92" s="80" t="str">
        <f>IF(COUNTIF(Data!$D$2:$D$97,'Men-Women'!$E92)=0,"",VLOOKUP('Men-Women'!$E92,Data!$D$2:$H$97,'Men-Women'!I$8,FALSE))</f>
        <v/>
      </c>
      <c r="J92" s="77" t="str">
        <f>IF(B92&lt;&gt;B91,B92,IF($D92="","",INDEX('Start List'!$D$15:$D$139,MATCH($D92,'Start List'!$C$15:$C$139,0))))</f>
        <v/>
      </c>
      <c r="K92" s="77" t="str">
        <f>IF($D92="","",INDEX('Start List'!$E$15:$E$139,MATCH($D92,'Start List'!$C$15:$C$139,0)))</f>
        <v/>
      </c>
      <c r="L92" s="77" t="str">
        <f>IF($D92="","",INDEX('Start List'!$H$15:$H$139,MATCH($D92,'Start List'!$C$15:$C$139,0)))</f>
        <v/>
      </c>
      <c r="M92" s="79" t="str">
        <f>IF($D92="","",INDEX('Start List'!$F$15:$F$139,MATCH($D92,'Start List'!$C$15:$C$139,0)))</f>
        <v/>
      </c>
      <c r="N92" s="80" t="str">
        <f>IF($D92="","",INDEX('Start List'!K$15:K$139,MATCH($D92,'Start List'!$C$15:$C$139,0)))</f>
        <v/>
      </c>
      <c r="O92" s="80" t="str">
        <f>IF($D92="","",INDEX('Start List'!L$15:L$139,MATCH($D92,'Start List'!$C$15:$C$139,0)))</f>
        <v/>
      </c>
      <c r="P92" s="80" t="str">
        <f>IF($D92="","",INDEX('Start List'!M$15:M$139,MATCH($D92,'Start List'!$C$15:$C$139,0)))</f>
        <v/>
      </c>
      <c r="Q92" s="80" t="str">
        <f>IF($D92="","",INDEX('Start List'!N$15:N$139,MATCH($D92,'Start List'!$C$15:$C$139,0)))</f>
        <v/>
      </c>
      <c r="R92" s="80" t="str">
        <f>IF($D92="","",INDEX('Start List'!O$15:O$139,MATCH($D92,'Start List'!$C$15:$C$139,0)))</f>
        <v/>
      </c>
      <c r="S92" s="80" t="str">
        <f>IF($D92="","",INDEX('Start List'!P$15:P$139,MATCH($D92,'Start List'!$C$15:$C$139,0)))</f>
        <v/>
      </c>
      <c r="T92" s="80" t="str">
        <f>IF($D92="","",INDEX('Start List'!Q$15:Q$139,MATCH($D92,'Start List'!$C$15:$C$139,0)))</f>
        <v/>
      </c>
      <c r="U92" s="80" t="str">
        <f>IF($D92="","",INDEX('Start List'!R$15:R$139,MATCH($D92,'Start List'!$C$15:$C$139,0)))</f>
        <v/>
      </c>
      <c r="V92" s="80" t="str">
        <f>IF($D92="","",INDEX('Start List'!S$15:S$139,MATCH($D92,'Start List'!$C$15:$C$139,0)))</f>
        <v/>
      </c>
      <c r="W92" s="80" t="str">
        <f>IF($D92="","",INDEX('Start List'!T$15:T$139,MATCH($D92,'Start List'!$C$15:$C$139,0)))</f>
        <v/>
      </c>
      <c r="X92" s="80" t="str">
        <f>IF($D92="","",INDEX('Start List'!U$15:U$139,MATCH($D92,'Start List'!$C$15:$C$139,0)))</f>
        <v/>
      </c>
      <c r="Y92" s="80" t="str">
        <f>IF($D92="","",INDEX('Start List'!V$15:V$139,MATCH($D92,'Start List'!$C$15:$C$139,0)))</f>
        <v/>
      </c>
      <c r="Z92" s="80" t="str">
        <f>IF($D92="","",INDEX('Start List'!W$15:W$139,MATCH($D92,'Start List'!$C$15:$C$139,0)))</f>
        <v/>
      </c>
      <c r="AA92" s="80" t="str">
        <f>IF($D92="","",INDEX('Start List'!X$15:X$139,MATCH($D92,'Start List'!$C$15:$C$139,0)))</f>
        <v/>
      </c>
      <c r="AB92" s="80" t="str">
        <f>IF($D92="","",INDEX('Start List'!Y$15:Y$139,MATCH($D92,'Start List'!$C$15:$C$139,0)))</f>
        <v/>
      </c>
    </row>
    <row r="93" spans="1:28" ht="12.75" x14ac:dyDescent="0.2">
      <c r="A93" s="59" t="str">
        <f>IF(OR(COUNT('Start List'!A:A)+2='Men-Women'!A92,A92=""),"",'Men-Women'!A92+1)</f>
        <v/>
      </c>
      <c r="B93" s="228" t="str">
        <f>IF(A93="","",IF(COUNTIF($B$9:B92,$B$9)-1=COUNTIF('Start List'!C:C,"&gt;999"),'Start List'!$J$10,'Start List'!$J$9))</f>
        <v/>
      </c>
      <c r="C93" s="75" t="str">
        <f>IF(OR(B93="",COUNTIF($B$9:B93,B93)=1),"",COUNTIF($B$9:B93,B93)-1)</f>
        <v/>
      </c>
      <c r="D93" s="227" t="str">
        <f>IF(""=C93,"",IF(COUNTIF($D$9:D92,"")=2,LARGE('Start List'!C:C,A91),LARGE('Start List'!C:C,A92)))</f>
        <v/>
      </c>
      <c r="E93" s="79" t="str">
        <f>IF(C93="","",VLOOKUP(B93,Data!$AK$2:$AN$7,4,FALSE)&amp;C93)</f>
        <v/>
      </c>
      <c r="F93" s="80" t="str">
        <f>IF(COUNTIF(Data!$D$2:$D$97,'Men-Women'!$E93)=0,"",VLOOKUP('Men-Women'!$E93,Data!$D$2:$H$97,'Men-Women'!F$8,FALSE))</f>
        <v/>
      </c>
      <c r="G93" s="80" t="str">
        <f>IF(COUNTIF(Data!$D$2:$D$97,'Men-Women'!$E93)=0,"",VLOOKUP('Men-Women'!$E93,Data!$D$2:$H$97,'Men-Women'!G$8,FALSE))</f>
        <v/>
      </c>
      <c r="H93" s="80" t="str">
        <f>IF(COUNTIF(Data!$D$2:$D$97,'Men-Women'!$E93)=0,"",VLOOKUP('Men-Women'!$E93,Data!$D$2:$H$97,'Men-Women'!H$8,FALSE))</f>
        <v/>
      </c>
      <c r="I93" s="80" t="str">
        <f>IF(COUNTIF(Data!$D$2:$D$97,'Men-Women'!$E93)=0,"",VLOOKUP('Men-Women'!$E93,Data!$D$2:$H$97,'Men-Women'!I$8,FALSE))</f>
        <v/>
      </c>
      <c r="J93" s="77" t="str">
        <f>IF(B93&lt;&gt;B92,B93,IF($D93="","",INDEX('Start List'!$D$15:$D$139,MATCH($D93,'Start List'!$C$15:$C$139,0))))</f>
        <v/>
      </c>
      <c r="K93" s="77" t="str">
        <f>IF($D93="","",INDEX('Start List'!$E$15:$E$139,MATCH($D93,'Start List'!$C$15:$C$139,0)))</f>
        <v/>
      </c>
      <c r="L93" s="77" t="str">
        <f>IF($D93="","",INDEX('Start List'!$H$15:$H$139,MATCH($D93,'Start List'!$C$15:$C$139,0)))</f>
        <v/>
      </c>
      <c r="M93" s="79" t="str">
        <f>IF($D93="","",INDEX('Start List'!$F$15:$F$139,MATCH($D93,'Start List'!$C$15:$C$139,0)))</f>
        <v/>
      </c>
      <c r="N93" s="80" t="str">
        <f>IF($D93="","",INDEX('Start List'!K$15:K$139,MATCH($D93,'Start List'!$C$15:$C$139,0)))</f>
        <v/>
      </c>
      <c r="O93" s="80" t="str">
        <f>IF($D93="","",INDEX('Start List'!L$15:L$139,MATCH($D93,'Start List'!$C$15:$C$139,0)))</f>
        <v/>
      </c>
      <c r="P93" s="80" t="str">
        <f>IF($D93="","",INDEX('Start List'!M$15:M$139,MATCH($D93,'Start List'!$C$15:$C$139,0)))</f>
        <v/>
      </c>
      <c r="Q93" s="80" t="str">
        <f>IF($D93="","",INDEX('Start List'!N$15:N$139,MATCH($D93,'Start List'!$C$15:$C$139,0)))</f>
        <v/>
      </c>
      <c r="R93" s="80" t="str">
        <f>IF($D93="","",INDEX('Start List'!O$15:O$139,MATCH($D93,'Start List'!$C$15:$C$139,0)))</f>
        <v/>
      </c>
      <c r="S93" s="80" t="str">
        <f>IF($D93="","",INDEX('Start List'!P$15:P$139,MATCH($D93,'Start List'!$C$15:$C$139,0)))</f>
        <v/>
      </c>
      <c r="T93" s="80" t="str">
        <f>IF($D93="","",INDEX('Start List'!Q$15:Q$139,MATCH($D93,'Start List'!$C$15:$C$139,0)))</f>
        <v/>
      </c>
      <c r="U93" s="80" t="str">
        <f>IF($D93="","",INDEX('Start List'!R$15:R$139,MATCH($D93,'Start List'!$C$15:$C$139,0)))</f>
        <v/>
      </c>
      <c r="V93" s="80" t="str">
        <f>IF($D93="","",INDEX('Start List'!S$15:S$139,MATCH($D93,'Start List'!$C$15:$C$139,0)))</f>
        <v/>
      </c>
      <c r="W93" s="80" t="str">
        <f>IF($D93="","",INDEX('Start List'!T$15:T$139,MATCH($D93,'Start List'!$C$15:$C$139,0)))</f>
        <v/>
      </c>
      <c r="X93" s="80" t="str">
        <f>IF($D93="","",INDEX('Start List'!U$15:U$139,MATCH($D93,'Start List'!$C$15:$C$139,0)))</f>
        <v/>
      </c>
      <c r="Y93" s="80" t="str">
        <f>IF($D93="","",INDEX('Start List'!V$15:V$139,MATCH($D93,'Start List'!$C$15:$C$139,0)))</f>
        <v/>
      </c>
      <c r="Z93" s="80" t="str">
        <f>IF($D93="","",INDEX('Start List'!W$15:W$139,MATCH($D93,'Start List'!$C$15:$C$139,0)))</f>
        <v/>
      </c>
      <c r="AA93" s="80" t="str">
        <f>IF($D93="","",INDEX('Start List'!X$15:X$139,MATCH($D93,'Start List'!$C$15:$C$139,0)))</f>
        <v/>
      </c>
      <c r="AB93" s="80" t="str">
        <f>IF($D93="","",INDEX('Start List'!Y$15:Y$139,MATCH($D93,'Start List'!$C$15:$C$139,0)))</f>
        <v/>
      </c>
    </row>
    <row r="94" spans="1:28" ht="12.75" x14ac:dyDescent="0.2">
      <c r="A94" s="59" t="str">
        <f>IF(OR(COUNT('Start List'!A:A)+2='Men-Women'!A93,A93=""),"",'Men-Women'!A93+1)</f>
        <v/>
      </c>
      <c r="B94" s="228" t="str">
        <f>IF(A94="","",IF(COUNTIF($B$9:B93,$B$9)-1=COUNTIF('Start List'!C:C,"&gt;999"),'Start List'!$J$10,'Start List'!$J$9))</f>
        <v/>
      </c>
      <c r="C94" s="75" t="str">
        <f>IF(OR(B94="",COUNTIF($B$9:B94,B94)=1),"",COUNTIF($B$9:B94,B94)-1)</f>
        <v/>
      </c>
      <c r="D94" s="227" t="str">
        <f>IF(""=C94,"",IF(COUNTIF($D$9:D93,"")=2,LARGE('Start List'!C:C,A92),LARGE('Start List'!C:C,A93)))</f>
        <v/>
      </c>
      <c r="E94" s="79" t="str">
        <f>IF(C94="","",VLOOKUP(B94,Data!$AK$2:$AN$7,4,FALSE)&amp;C94)</f>
        <v/>
      </c>
      <c r="F94" s="80" t="str">
        <f>IF(COUNTIF(Data!$D$2:$D$97,'Men-Women'!$E94)=0,"",VLOOKUP('Men-Women'!$E94,Data!$D$2:$H$97,'Men-Women'!F$8,FALSE))</f>
        <v/>
      </c>
      <c r="G94" s="80" t="str">
        <f>IF(COUNTIF(Data!$D$2:$D$97,'Men-Women'!$E94)=0,"",VLOOKUP('Men-Women'!$E94,Data!$D$2:$H$97,'Men-Women'!G$8,FALSE))</f>
        <v/>
      </c>
      <c r="H94" s="80" t="str">
        <f>IF(COUNTIF(Data!$D$2:$D$97,'Men-Women'!$E94)=0,"",VLOOKUP('Men-Women'!$E94,Data!$D$2:$H$97,'Men-Women'!H$8,FALSE))</f>
        <v/>
      </c>
      <c r="I94" s="80" t="str">
        <f>IF(COUNTIF(Data!$D$2:$D$97,'Men-Women'!$E94)=0,"",VLOOKUP('Men-Women'!$E94,Data!$D$2:$H$97,'Men-Women'!I$8,FALSE))</f>
        <v/>
      </c>
      <c r="J94" s="77" t="str">
        <f>IF(B94&lt;&gt;B93,B94,IF($D94="","",INDEX('Start List'!$D$15:$D$139,MATCH($D94,'Start List'!$C$15:$C$139,0))))</f>
        <v/>
      </c>
      <c r="K94" s="77" t="str">
        <f>IF($D94="","",INDEX('Start List'!$E$15:$E$139,MATCH($D94,'Start List'!$C$15:$C$139,0)))</f>
        <v/>
      </c>
      <c r="L94" s="77" t="str">
        <f>IF($D94="","",INDEX('Start List'!$H$15:$H$139,MATCH($D94,'Start List'!$C$15:$C$139,0)))</f>
        <v/>
      </c>
      <c r="M94" s="79" t="str">
        <f>IF($D94="","",INDEX('Start List'!$F$15:$F$139,MATCH($D94,'Start List'!$C$15:$C$139,0)))</f>
        <v/>
      </c>
      <c r="N94" s="80" t="str">
        <f>IF($D94="","",INDEX('Start List'!K$15:K$139,MATCH($D94,'Start List'!$C$15:$C$139,0)))</f>
        <v/>
      </c>
      <c r="O94" s="80" t="str">
        <f>IF($D94="","",INDEX('Start List'!L$15:L$139,MATCH($D94,'Start List'!$C$15:$C$139,0)))</f>
        <v/>
      </c>
      <c r="P94" s="80" t="str">
        <f>IF($D94="","",INDEX('Start List'!M$15:M$139,MATCH($D94,'Start List'!$C$15:$C$139,0)))</f>
        <v/>
      </c>
      <c r="Q94" s="80" t="str">
        <f>IF($D94="","",INDEX('Start List'!N$15:N$139,MATCH($D94,'Start List'!$C$15:$C$139,0)))</f>
        <v/>
      </c>
      <c r="R94" s="80" t="str">
        <f>IF($D94="","",INDEX('Start List'!O$15:O$139,MATCH($D94,'Start List'!$C$15:$C$139,0)))</f>
        <v/>
      </c>
      <c r="S94" s="80" t="str">
        <f>IF($D94="","",INDEX('Start List'!P$15:P$139,MATCH($D94,'Start List'!$C$15:$C$139,0)))</f>
        <v/>
      </c>
      <c r="T94" s="80" t="str">
        <f>IF($D94="","",INDEX('Start List'!Q$15:Q$139,MATCH($D94,'Start List'!$C$15:$C$139,0)))</f>
        <v/>
      </c>
      <c r="U94" s="80" t="str">
        <f>IF($D94="","",INDEX('Start List'!R$15:R$139,MATCH($D94,'Start List'!$C$15:$C$139,0)))</f>
        <v/>
      </c>
      <c r="V94" s="80" t="str">
        <f>IF($D94="","",INDEX('Start List'!S$15:S$139,MATCH($D94,'Start List'!$C$15:$C$139,0)))</f>
        <v/>
      </c>
      <c r="W94" s="80" t="str">
        <f>IF($D94="","",INDEX('Start List'!T$15:T$139,MATCH($D94,'Start List'!$C$15:$C$139,0)))</f>
        <v/>
      </c>
      <c r="X94" s="80" t="str">
        <f>IF($D94="","",INDEX('Start List'!U$15:U$139,MATCH($D94,'Start List'!$C$15:$C$139,0)))</f>
        <v/>
      </c>
      <c r="Y94" s="80" t="str">
        <f>IF($D94="","",INDEX('Start List'!V$15:V$139,MATCH($D94,'Start List'!$C$15:$C$139,0)))</f>
        <v/>
      </c>
      <c r="Z94" s="80" t="str">
        <f>IF($D94="","",INDEX('Start List'!W$15:W$139,MATCH($D94,'Start List'!$C$15:$C$139,0)))</f>
        <v/>
      </c>
      <c r="AA94" s="80" t="str">
        <f>IF($D94="","",INDEX('Start List'!X$15:X$139,MATCH($D94,'Start List'!$C$15:$C$139,0)))</f>
        <v/>
      </c>
      <c r="AB94" s="80" t="str">
        <f>IF($D94="","",INDEX('Start List'!Y$15:Y$139,MATCH($D94,'Start List'!$C$15:$C$139,0)))</f>
        <v/>
      </c>
    </row>
    <row r="95" spans="1:28" ht="12.75" x14ac:dyDescent="0.2">
      <c r="A95" s="59" t="str">
        <f>IF(OR(COUNT('Start List'!A:A)+2='Men-Women'!A94,A94=""),"",'Men-Women'!A94+1)</f>
        <v/>
      </c>
      <c r="B95" s="228" t="str">
        <f>IF(A95="","",IF(COUNTIF($B$9:B94,$B$9)-1=COUNTIF('Start List'!C:C,"&gt;999"),'Start List'!$J$10,'Start List'!$J$9))</f>
        <v/>
      </c>
      <c r="C95" s="75" t="str">
        <f>IF(OR(B95="",COUNTIF($B$9:B95,B95)=1),"",COUNTIF($B$9:B95,B95)-1)</f>
        <v/>
      </c>
      <c r="D95" s="227" t="str">
        <f>IF(""=C95,"",IF(COUNTIF($D$9:D94,"")=2,LARGE('Start List'!C:C,A93),LARGE('Start List'!C:C,A94)))</f>
        <v/>
      </c>
      <c r="E95" s="79" t="str">
        <f>IF(C95="","",VLOOKUP(B95,Data!$AK$2:$AN$7,4,FALSE)&amp;C95)</f>
        <v/>
      </c>
      <c r="F95" s="80" t="str">
        <f>IF(COUNTIF(Data!$D$2:$D$97,'Men-Women'!$E95)=0,"",VLOOKUP('Men-Women'!$E95,Data!$D$2:$H$97,'Men-Women'!F$8,FALSE))</f>
        <v/>
      </c>
      <c r="G95" s="80" t="str">
        <f>IF(COUNTIF(Data!$D$2:$D$97,'Men-Women'!$E95)=0,"",VLOOKUP('Men-Women'!$E95,Data!$D$2:$H$97,'Men-Women'!G$8,FALSE))</f>
        <v/>
      </c>
      <c r="H95" s="80" t="str">
        <f>IF(COUNTIF(Data!$D$2:$D$97,'Men-Women'!$E95)=0,"",VLOOKUP('Men-Women'!$E95,Data!$D$2:$H$97,'Men-Women'!H$8,FALSE))</f>
        <v/>
      </c>
      <c r="I95" s="80" t="str">
        <f>IF(COUNTIF(Data!$D$2:$D$97,'Men-Women'!$E95)=0,"",VLOOKUP('Men-Women'!$E95,Data!$D$2:$H$97,'Men-Women'!I$8,FALSE))</f>
        <v/>
      </c>
      <c r="J95" s="77" t="str">
        <f>IF(B95&lt;&gt;B94,B95,IF($D95="","",INDEX('Start List'!$D$15:$D$139,MATCH($D95,'Start List'!$C$15:$C$139,0))))</f>
        <v/>
      </c>
      <c r="K95" s="77" t="str">
        <f>IF($D95="","",INDEX('Start List'!$E$15:$E$139,MATCH($D95,'Start List'!$C$15:$C$139,0)))</f>
        <v/>
      </c>
      <c r="L95" s="77" t="str">
        <f>IF($D95="","",INDEX('Start List'!$H$15:$H$139,MATCH($D95,'Start List'!$C$15:$C$139,0)))</f>
        <v/>
      </c>
      <c r="M95" s="79" t="str">
        <f>IF($D95="","",INDEX('Start List'!$F$15:$F$139,MATCH($D95,'Start List'!$C$15:$C$139,0)))</f>
        <v/>
      </c>
      <c r="N95" s="80" t="str">
        <f>IF($D95="","",INDEX('Start List'!K$15:K$139,MATCH($D95,'Start List'!$C$15:$C$139,0)))</f>
        <v/>
      </c>
      <c r="O95" s="80" t="str">
        <f>IF($D95="","",INDEX('Start List'!L$15:L$139,MATCH($D95,'Start List'!$C$15:$C$139,0)))</f>
        <v/>
      </c>
      <c r="P95" s="80" t="str">
        <f>IF($D95="","",INDEX('Start List'!M$15:M$139,MATCH($D95,'Start List'!$C$15:$C$139,0)))</f>
        <v/>
      </c>
      <c r="Q95" s="80" t="str">
        <f>IF($D95="","",INDEX('Start List'!N$15:N$139,MATCH($D95,'Start List'!$C$15:$C$139,0)))</f>
        <v/>
      </c>
      <c r="R95" s="80" t="str">
        <f>IF($D95="","",INDEX('Start List'!O$15:O$139,MATCH($D95,'Start List'!$C$15:$C$139,0)))</f>
        <v/>
      </c>
      <c r="S95" s="80" t="str">
        <f>IF($D95="","",INDEX('Start List'!P$15:P$139,MATCH($D95,'Start List'!$C$15:$C$139,0)))</f>
        <v/>
      </c>
      <c r="T95" s="80" t="str">
        <f>IF($D95="","",INDEX('Start List'!Q$15:Q$139,MATCH($D95,'Start List'!$C$15:$C$139,0)))</f>
        <v/>
      </c>
      <c r="U95" s="80" t="str">
        <f>IF($D95="","",INDEX('Start List'!R$15:R$139,MATCH($D95,'Start List'!$C$15:$C$139,0)))</f>
        <v/>
      </c>
      <c r="V95" s="80" t="str">
        <f>IF($D95="","",INDEX('Start List'!S$15:S$139,MATCH($D95,'Start List'!$C$15:$C$139,0)))</f>
        <v/>
      </c>
      <c r="W95" s="80" t="str">
        <f>IF($D95="","",INDEX('Start List'!T$15:T$139,MATCH($D95,'Start List'!$C$15:$C$139,0)))</f>
        <v/>
      </c>
      <c r="X95" s="80" t="str">
        <f>IF($D95="","",INDEX('Start List'!U$15:U$139,MATCH($D95,'Start List'!$C$15:$C$139,0)))</f>
        <v/>
      </c>
      <c r="Y95" s="80" t="str">
        <f>IF($D95="","",INDEX('Start List'!V$15:V$139,MATCH($D95,'Start List'!$C$15:$C$139,0)))</f>
        <v/>
      </c>
      <c r="Z95" s="80" t="str">
        <f>IF($D95="","",INDEX('Start List'!W$15:W$139,MATCH($D95,'Start List'!$C$15:$C$139,0)))</f>
        <v/>
      </c>
      <c r="AA95" s="80" t="str">
        <f>IF($D95="","",INDEX('Start List'!X$15:X$139,MATCH($D95,'Start List'!$C$15:$C$139,0)))</f>
        <v/>
      </c>
      <c r="AB95" s="80" t="str">
        <f>IF($D95="","",INDEX('Start List'!Y$15:Y$139,MATCH($D95,'Start List'!$C$15:$C$139,0)))</f>
        <v/>
      </c>
    </row>
    <row r="96" spans="1:28" ht="12.75" x14ac:dyDescent="0.2">
      <c r="A96" s="59" t="str">
        <f>IF(OR(COUNT('Start List'!A:A)+2='Men-Women'!A95,A95=""),"",'Men-Women'!A95+1)</f>
        <v/>
      </c>
      <c r="B96" s="228" t="str">
        <f>IF(A96="","",IF(COUNTIF($B$9:B95,$B$9)-1=COUNTIF('Start List'!C:C,"&gt;999"),'Start List'!$J$10,'Start List'!$J$9))</f>
        <v/>
      </c>
      <c r="C96" s="75" t="str">
        <f>IF(OR(B96="",COUNTIF($B$9:B96,B96)=1),"",COUNTIF($B$9:B96,B96)-1)</f>
        <v/>
      </c>
      <c r="D96" s="227" t="str">
        <f>IF(""=C96,"",IF(COUNTIF($D$9:D95,"")=2,LARGE('Start List'!C:C,A94),LARGE('Start List'!C:C,A95)))</f>
        <v/>
      </c>
      <c r="E96" s="79" t="str">
        <f>IF(C96="","",VLOOKUP(B96,Data!$AK$2:$AN$7,4,FALSE)&amp;C96)</f>
        <v/>
      </c>
      <c r="F96" s="80" t="str">
        <f>IF(COUNTIF(Data!$D$2:$D$97,'Men-Women'!$E96)=0,"",VLOOKUP('Men-Women'!$E96,Data!$D$2:$H$97,'Men-Women'!F$8,FALSE))</f>
        <v/>
      </c>
      <c r="G96" s="80" t="str">
        <f>IF(COUNTIF(Data!$D$2:$D$97,'Men-Women'!$E96)=0,"",VLOOKUP('Men-Women'!$E96,Data!$D$2:$H$97,'Men-Women'!G$8,FALSE))</f>
        <v/>
      </c>
      <c r="H96" s="80" t="str">
        <f>IF(COUNTIF(Data!$D$2:$D$97,'Men-Women'!$E96)=0,"",VLOOKUP('Men-Women'!$E96,Data!$D$2:$H$97,'Men-Women'!H$8,FALSE))</f>
        <v/>
      </c>
      <c r="I96" s="80" t="str">
        <f>IF(COUNTIF(Data!$D$2:$D$97,'Men-Women'!$E96)=0,"",VLOOKUP('Men-Women'!$E96,Data!$D$2:$H$97,'Men-Women'!I$8,FALSE))</f>
        <v/>
      </c>
      <c r="J96" s="77" t="str">
        <f>IF(B96&lt;&gt;B95,B96,IF($D96="","",INDEX('Start List'!$D$15:$D$139,MATCH($D96,'Start List'!$C$15:$C$139,0))))</f>
        <v/>
      </c>
      <c r="K96" s="77" t="str">
        <f>IF($D96="","",INDEX('Start List'!$E$15:$E$139,MATCH($D96,'Start List'!$C$15:$C$139,0)))</f>
        <v/>
      </c>
      <c r="L96" s="77" t="str">
        <f>IF($D96="","",INDEX('Start List'!$H$15:$H$139,MATCH($D96,'Start List'!$C$15:$C$139,0)))</f>
        <v/>
      </c>
      <c r="M96" s="79" t="str">
        <f>IF($D96="","",INDEX('Start List'!$F$15:$F$139,MATCH($D96,'Start List'!$C$15:$C$139,0)))</f>
        <v/>
      </c>
      <c r="N96" s="80" t="str">
        <f>IF($D96="","",INDEX('Start List'!K$15:K$139,MATCH($D96,'Start List'!$C$15:$C$139,0)))</f>
        <v/>
      </c>
      <c r="O96" s="80" t="str">
        <f>IF($D96="","",INDEX('Start List'!L$15:L$139,MATCH($D96,'Start List'!$C$15:$C$139,0)))</f>
        <v/>
      </c>
      <c r="P96" s="80" t="str">
        <f>IF($D96="","",INDEX('Start List'!M$15:M$139,MATCH($D96,'Start List'!$C$15:$C$139,0)))</f>
        <v/>
      </c>
      <c r="Q96" s="80" t="str">
        <f>IF($D96="","",INDEX('Start List'!N$15:N$139,MATCH($D96,'Start List'!$C$15:$C$139,0)))</f>
        <v/>
      </c>
      <c r="R96" s="80" t="str">
        <f>IF($D96="","",INDEX('Start List'!O$15:O$139,MATCH($D96,'Start List'!$C$15:$C$139,0)))</f>
        <v/>
      </c>
      <c r="S96" s="80" t="str">
        <f>IF($D96="","",INDEX('Start List'!P$15:P$139,MATCH($D96,'Start List'!$C$15:$C$139,0)))</f>
        <v/>
      </c>
      <c r="T96" s="80" t="str">
        <f>IF($D96="","",INDEX('Start List'!Q$15:Q$139,MATCH($D96,'Start List'!$C$15:$C$139,0)))</f>
        <v/>
      </c>
      <c r="U96" s="80" t="str">
        <f>IF($D96="","",INDEX('Start List'!R$15:R$139,MATCH($D96,'Start List'!$C$15:$C$139,0)))</f>
        <v/>
      </c>
      <c r="V96" s="80" t="str">
        <f>IF($D96="","",INDEX('Start List'!S$15:S$139,MATCH($D96,'Start List'!$C$15:$C$139,0)))</f>
        <v/>
      </c>
      <c r="W96" s="80" t="str">
        <f>IF($D96="","",INDEX('Start List'!T$15:T$139,MATCH($D96,'Start List'!$C$15:$C$139,0)))</f>
        <v/>
      </c>
      <c r="X96" s="80" t="str">
        <f>IF($D96="","",INDEX('Start List'!U$15:U$139,MATCH($D96,'Start List'!$C$15:$C$139,0)))</f>
        <v/>
      </c>
      <c r="Y96" s="80" t="str">
        <f>IF($D96="","",INDEX('Start List'!V$15:V$139,MATCH($D96,'Start List'!$C$15:$C$139,0)))</f>
        <v/>
      </c>
      <c r="Z96" s="80" t="str">
        <f>IF($D96="","",INDEX('Start List'!W$15:W$139,MATCH($D96,'Start List'!$C$15:$C$139,0)))</f>
        <v/>
      </c>
      <c r="AA96" s="80" t="str">
        <f>IF($D96="","",INDEX('Start List'!X$15:X$139,MATCH($D96,'Start List'!$C$15:$C$139,0)))</f>
        <v/>
      </c>
      <c r="AB96" s="80" t="str">
        <f>IF($D96="","",INDEX('Start List'!Y$15:Y$139,MATCH($D96,'Start List'!$C$15:$C$139,0)))</f>
        <v/>
      </c>
    </row>
    <row r="97" spans="1:28" ht="12.75" x14ac:dyDescent="0.2">
      <c r="A97" s="59" t="str">
        <f>IF(OR(COUNT('Start List'!A:A)+2='Men-Women'!A96,A96=""),"",'Men-Women'!A96+1)</f>
        <v/>
      </c>
      <c r="B97" s="228" t="str">
        <f>IF(A97="","",IF(COUNTIF($B$9:B96,$B$9)-1=COUNTIF('Start List'!C:C,"&gt;999"),'Start List'!$J$10,'Start List'!$J$9))</f>
        <v/>
      </c>
      <c r="C97" s="75" t="str">
        <f>IF(OR(B97="",COUNTIF($B$9:B97,B97)=1),"",COUNTIF($B$9:B97,B97)-1)</f>
        <v/>
      </c>
      <c r="D97" s="227" t="str">
        <f>IF(""=C97,"",IF(COUNTIF($D$9:D96,"")=2,LARGE('Start List'!C:C,A95),LARGE('Start List'!C:C,A96)))</f>
        <v/>
      </c>
      <c r="E97" s="79" t="str">
        <f>IF(C97="","",VLOOKUP(B97,Data!$AK$2:$AN$7,4,FALSE)&amp;C97)</f>
        <v/>
      </c>
      <c r="F97" s="80" t="str">
        <f>IF(COUNTIF(Data!$D$2:$D$97,'Men-Women'!$E97)=0,"",VLOOKUP('Men-Women'!$E97,Data!$D$2:$H$97,'Men-Women'!F$8,FALSE))</f>
        <v/>
      </c>
      <c r="G97" s="80" t="str">
        <f>IF(COUNTIF(Data!$D$2:$D$97,'Men-Women'!$E97)=0,"",VLOOKUP('Men-Women'!$E97,Data!$D$2:$H$97,'Men-Women'!G$8,FALSE))</f>
        <v/>
      </c>
      <c r="H97" s="80" t="str">
        <f>IF(COUNTIF(Data!$D$2:$D$97,'Men-Women'!$E97)=0,"",VLOOKUP('Men-Women'!$E97,Data!$D$2:$H$97,'Men-Women'!H$8,FALSE))</f>
        <v/>
      </c>
      <c r="I97" s="80" t="str">
        <f>IF(COUNTIF(Data!$D$2:$D$97,'Men-Women'!$E97)=0,"",VLOOKUP('Men-Women'!$E97,Data!$D$2:$H$97,'Men-Women'!I$8,FALSE))</f>
        <v/>
      </c>
      <c r="J97" s="77" t="str">
        <f>IF(B97&lt;&gt;B96,B97,IF($D97="","",INDEX('Start List'!$D$15:$D$139,MATCH($D97,'Start List'!$C$15:$C$139,0))))</f>
        <v/>
      </c>
      <c r="K97" s="77" t="str">
        <f>IF($D97="","",INDEX('Start List'!$E$15:$E$139,MATCH($D97,'Start List'!$C$15:$C$139,0)))</f>
        <v/>
      </c>
      <c r="L97" s="77" t="str">
        <f>IF($D97="","",INDEX('Start List'!$H$15:$H$139,MATCH($D97,'Start List'!$C$15:$C$139,0)))</f>
        <v/>
      </c>
      <c r="M97" s="79" t="str">
        <f>IF($D97="","",INDEX('Start List'!$F$15:$F$139,MATCH($D97,'Start List'!$C$15:$C$139,0)))</f>
        <v/>
      </c>
      <c r="N97" s="80" t="str">
        <f>IF($D97="","",INDEX('Start List'!K$15:K$139,MATCH($D97,'Start List'!$C$15:$C$139,0)))</f>
        <v/>
      </c>
      <c r="O97" s="80" t="str">
        <f>IF($D97="","",INDEX('Start List'!L$15:L$139,MATCH($D97,'Start List'!$C$15:$C$139,0)))</f>
        <v/>
      </c>
      <c r="P97" s="80" t="str">
        <f>IF($D97="","",INDEX('Start List'!M$15:M$139,MATCH($D97,'Start List'!$C$15:$C$139,0)))</f>
        <v/>
      </c>
      <c r="Q97" s="80" t="str">
        <f>IF($D97="","",INDEX('Start List'!N$15:N$139,MATCH($D97,'Start List'!$C$15:$C$139,0)))</f>
        <v/>
      </c>
      <c r="R97" s="80" t="str">
        <f>IF($D97="","",INDEX('Start List'!O$15:O$139,MATCH($D97,'Start List'!$C$15:$C$139,0)))</f>
        <v/>
      </c>
      <c r="S97" s="80" t="str">
        <f>IF($D97="","",INDEX('Start List'!P$15:P$139,MATCH($D97,'Start List'!$C$15:$C$139,0)))</f>
        <v/>
      </c>
      <c r="T97" s="80" t="str">
        <f>IF($D97="","",INDEX('Start List'!Q$15:Q$139,MATCH($D97,'Start List'!$C$15:$C$139,0)))</f>
        <v/>
      </c>
      <c r="U97" s="80" t="str">
        <f>IF($D97="","",INDEX('Start List'!R$15:R$139,MATCH($D97,'Start List'!$C$15:$C$139,0)))</f>
        <v/>
      </c>
      <c r="V97" s="80" t="str">
        <f>IF($D97="","",INDEX('Start List'!S$15:S$139,MATCH($D97,'Start List'!$C$15:$C$139,0)))</f>
        <v/>
      </c>
      <c r="W97" s="80" t="str">
        <f>IF($D97="","",INDEX('Start List'!T$15:T$139,MATCH($D97,'Start List'!$C$15:$C$139,0)))</f>
        <v/>
      </c>
      <c r="X97" s="80" t="str">
        <f>IF($D97="","",INDEX('Start List'!U$15:U$139,MATCH($D97,'Start List'!$C$15:$C$139,0)))</f>
        <v/>
      </c>
      <c r="Y97" s="80" t="str">
        <f>IF($D97="","",INDEX('Start List'!V$15:V$139,MATCH($D97,'Start List'!$C$15:$C$139,0)))</f>
        <v/>
      </c>
      <c r="Z97" s="80" t="str">
        <f>IF($D97="","",INDEX('Start List'!W$15:W$139,MATCH($D97,'Start List'!$C$15:$C$139,0)))</f>
        <v/>
      </c>
      <c r="AA97" s="80" t="str">
        <f>IF($D97="","",INDEX('Start List'!X$15:X$139,MATCH($D97,'Start List'!$C$15:$C$139,0)))</f>
        <v/>
      </c>
      <c r="AB97" s="80" t="str">
        <f>IF($D97="","",INDEX('Start List'!Y$15:Y$139,MATCH($D97,'Start List'!$C$15:$C$139,0)))</f>
        <v/>
      </c>
    </row>
    <row r="98" spans="1:28" ht="12.75" x14ac:dyDescent="0.2">
      <c r="A98" s="59" t="str">
        <f>IF(OR(COUNT('Start List'!A:A)+2='Men-Women'!A97,A97=""),"",'Men-Women'!A97+1)</f>
        <v/>
      </c>
      <c r="B98" s="228" t="str">
        <f>IF(A98="","",IF(COUNTIF($B$9:B97,$B$9)-1=COUNTIF('Start List'!C:C,"&gt;999"),'Start List'!$J$10,'Start List'!$J$9))</f>
        <v/>
      </c>
      <c r="C98" s="75" t="str">
        <f>IF(OR(B98="",COUNTIF($B$9:B98,B98)=1),"",COUNTIF($B$9:B98,B98)-1)</f>
        <v/>
      </c>
      <c r="D98" s="227" t="str">
        <f>IF(""=C98,"",IF(COUNTIF($D$9:D97,"")=2,LARGE('Start List'!C:C,A96),LARGE('Start List'!C:C,A97)))</f>
        <v/>
      </c>
      <c r="E98" s="79" t="str">
        <f>IF(C98="","",VLOOKUP(B98,Data!$AK$2:$AN$7,4,FALSE)&amp;C98)</f>
        <v/>
      </c>
      <c r="F98" s="80" t="str">
        <f>IF(COUNTIF(Data!$D$2:$D$97,'Men-Women'!$E98)=0,"",VLOOKUP('Men-Women'!$E98,Data!$D$2:$H$97,'Men-Women'!F$8,FALSE))</f>
        <v/>
      </c>
      <c r="G98" s="80" t="str">
        <f>IF(COUNTIF(Data!$D$2:$D$97,'Men-Women'!$E98)=0,"",VLOOKUP('Men-Women'!$E98,Data!$D$2:$H$97,'Men-Women'!G$8,FALSE))</f>
        <v/>
      </c>
      <c r="H98" s="80" t="str">
        <f>IF(COUNTIF(Data!$D$2:$D$97,'Men-Women'!$E98)=0,"",VLOOKUP('Men-Women'!$E98,Data!$D$2:$H$97,'Men-Women'!H$8,FALSE))</f>
        <v/>
      </c>
      <c r="I98" s="80" t="str">
        <f>IF(COUNTIF(Data!$D$2:$D$97,'Men-Women'!$E98)=0,"",VLOOKUP('Men-Women'!$E98,Data!$D$2:$H$97,'Men-Women'!I$8,FALSE))</f>
        <v/>
      </c>
      <c r="J98" s="77" t="str">
        <f>IF(B98&lt;&gt;B97,B98,IF($D98="","",INDEX('Start List'!$D$15:$D$139,MATCH($D98,'Start List'!$C$15:$C$139,0))))</f>
        <v/>
      </c>
      <c r="K98" s="77" t="str">
        <f>IF($D98="","",INDEX('Start List'!$E$15:$E$139,MATCH($D98,'Start List'!$C$15:$C$139,0)))</f>
        <v/>
      </c>
      <c r="L98" s="77" t="str">
        <f>IF($D98="","",INDEX('Start List'!$H$15:$H$139,MATCH($D98,'Start List'!$C$15:$C$139,0)))</f>
        <v/>
      </c>
      <c r="M98" s="79" t="str">
        <f>IF($D98="","",INDEX('Start List'!$F$15:$F$139,MATCH($D98,'Start List'!$C$15:$C$139,0)))</f>
        <v/>
      </c>
      <c r="N98" s="80" t="str">
        <f>IF($D98="","",INDEX('Start List'!K$15:K$139,MATCH($D98,'Start List'!$C$15:$C$139,0)))</f>
        <v/>
      </c>
      <c r="O98" s="80" t="str">
        <f>IF($D98="","",INDEX('Start List'!L$15:L$139,MATCH($D98,'Start List'!$C$15:$C$139,0)))</f>
        <v/>
      </c>
      <c r="P98" s="80" t="str">
        <f>IF($D98="","",INDEX('Start List'!M$15:M$139,MATCH($D98,'Start List'!$C$15:$C$139,0)))</f>
        <v/>
      </c>
      <c r="Q98" s="80" t="str">
        <f>IF($D98="","",INDEX('Start List'!N$15:N$139,MATCH($D98,'Start List'!$C$15:$C$139,0)))</f>
        <v/>
      </c>
      <c r="R98" s="80" t="str">
        <f>IF($D98="","",INDEX('Start List'!O$15:O$139,MATCH($D98,'Start List'!$C$15:$C$139,0)))</f>
        <v/>
      </c>
      <c r="S98" s="80" t="str">
        <f>IF($D98="","",INDEX('Start List'!P$15:P$139,MATCH($D98,'Start List'!$C$15:$C$139,0)))</f>
        <v/>
      </c>
      <c r="T98" s="80" t="str">
        <f>IF($D98="","",INDEX('Start List'!Q$15:Q$139,MATCH($D98,'Start List'!$C$15:$C$139,0)))</f>
        <v/>
      </c>
      <c r="U98" s="80" t="str">
        <f>IF($D98="","",INDEX('Start List'!R$15:R$139,MATCH($D98,'Start List'!$C$15:$C$139,0)))</f>
        <v/>
      </c>
      <c r="V98" s="80" t="str">
        <f>IF($D98="","",INDEX('Start List'!S$15:S$139,MATCH($D98,'Start List'!$C$15:$C$139,0)))</f>
        <v/>
      </c>
      <c r="W98" s="80" t="str">
        <f>IF($D98="","",INDEX('Start List'!T$15:T$139,MATCH($D98,'Start List'!$C$15:$C$139,0)))</f>
        <v/>
      </c>
      <c r="X98" s="80" t="str">
        <f>IF($D98="","",INDEX('Start List'!U$15:U$139,MATCH($D98,'Start List'!$C$15:$C$139,0)))</f>
        <v/>
      </c>
      <c r="Y98" s="80" t="str">
        <f>IF($D98="","",INDEX('Start List'!V$15:V$139,MATCH($D98,'Start List'!$C$15:$C$139,0)))</f>
        <v/>
      </c>
      <c r="Z98" s="80" t="str">
        <f>IF($D98="","",INDEX('Start List'!W$15:W$139,MATCH($D98,'Start List'!$C$15:$C$139,0)))</f>
        <v/>
      </c>
      <c r="AA98" s="80" t="str">
        <f>IF($D98="","",INDEX('Start List'!X$15:X$139,MATCH($D98,'Start List'!$C$15:$C$139,0)))</f>
        <v/>
      </c>
      <c r="AB98" s="80" t="str">
        <f>IF($D98="","",INDEX('Start List'!Y$15:Y$139,MATCH($D98,'Start List'!$C$15:$C$139,0)))</f>
        <v/>
      </c>
    </row>
    <row r="99" spans="1:28" ht="12.75" x14ac:dyDescent="0.2">
      <c r="A99" s="59" t="str">
        <f>IF(OR(COUNT('Start List'!A:A)+2='Men-Women'!A98,A98=""),"",'Men-Women'!A98+1)</f>
        <v/>
      </c>
      <c r="B99" s="228" t="str">
        <f>IF(A99="","",IF(COUNTIF($B$9:B98,$B$9)-1=COUNTIF('Start List'!C:C,"&gt;999"),'Start List'!$J$10,'Start List'!$J$9))</f>
        <v/>
      </c>
      <c r="C99" s="75" t="str">
        <f>IF(OR(B99="",COUNTIF($B$9:B99,B99)=1),"",COUNTIF($B$9:B99,B99)-1)</f>
        <v/>
      </c>
      <c r="D99" s="227" t="str">
        <f>IF(""=C99,"",IF(COUNTIF($D$9:D98,"")=2,LARGE('Start List'!C:C,A97),LARGE('Start List'!C:C,A98)))</f>
        <v/>
      </c>
      <c r="E99" s="79" t="str">
        <f>IF(C99="","",VLOOKUP(B99,Data!$AK$2:$AN$7,4,FALSE)&amp;C99)</f>
        <v/>
      </c>
      <c r="F99" s="80" t="str">
        <f>IF(COUNTIF(Data!$D$2:$D$97,'Men-Women'!$E99)=0,"",VLOOKUP('Men-Women'!$E99,Data!$D$2:$H$97,'Men-Women'!F$8,FALSE))</f>
        <v/>
      </c>
      <c r="G99" s="80" t="str">
        <f>IF(COUNTIF(Data!$D$2:$D$97,'Men-Women'!$E99)=0,"",VLOOKUP('Men-Women'!$E99,Data!$D$2:$H$97,'Men-Women'!G$8,FALSE))</f>
        <v/>
      </c>
      <c r="H99" s="80" t="str">
        <f>IF(COUNTIF(Data!$D$2:$D$97,'Men-Women'!$E99)=0,"",VLOOKUP('Men-Women'!$E99,Data!$D$2:$H$97,'Men-Women'!H$8,FALSE))</f>
        <v/>
      </c>
      <c r="I99" s="80" t="str">
        <f>IF(COUNTIF(Data!$D$2:$D$97,'Men-Women'!$E99)=0,"",VLOOKUP('Men-Women'!$E99,Data!$D$2:$H$97,'Men-Women'!I$8,FALSE))</f>
        <v/>
      </c>
      <c r="J99" s="77" t="str">
        <f>IF(B99&lt;&gt;B98,B99,IF($D99="","",INDEX('Start List'!$D$15:$D$139,MATCH($D99,'Start List'!$C$15:$C$139,0))))</f>
        <v/>
      </c>
      <c r="K99" s="77" t="str">
        <f>IF($D99="","",INDEX('Start List'!$E$15:$E$139,MATCH($D99,'Start List'!$C$15:$C$139,0)))</f>
        <v/>
      </c>
      <c r="L99" s="77" t="str">
        <f>IF($D99="","",INDEX('Start List'!$H$15:$H$139,MATCH($D99,'Start List'!$C$15:$C$139,0)))</f>
        <v/>
      </c>
      <c r="M99" s="79" t="str">
        <f>IF($D99="","",INDEX('Start List'!$F$15:$F$139,MATCH($D99,'Start List'!$C$15:$C$139,0)))</f>
        <v/>
      </c>
      <c r="N99" s="80" t="str">
        <f>IF($D99="","",INDEX('Start List'!K$15:K$139,MATCH($D99,'Start List'!$C$15:$C$139,0)))</f>
        <v/>
      </c>
      <c r="O99" s="80" t="str">
        <f>IF($D99="","",INDEX('Start List'!L$15:L$139,MATCH($D99,'Start List'!$C$15:$C$139,0)))</f>
        <v/>
      </c>
      <c r="P99" s="80" t="str">
        <f>IF($D99="","",INDEX('Start List'!M$15:M$139,MATCH($D99,'Start List'!$C$15:$C$139,0)))</f>
        <v/>
      </c>
      <c r="Q99" s="80" t="str">
        <f>IF($D99="","",INDEX('Start List'!N$15:N$139,MATCH($D99,'Start List'!$C$15:$C$139,0)))</f>
        <v/>
      </c>
      <c r="R99" s="80" t="str">
        <f>IF($D99="","",INDEX('Start List'!O$15:O$139,MATCH($D99,'Start List'!$C$15:$C$139,0)))</f>
        <v/>
      </c>
      <c r="S99" s="80" t="str">
        <f>IF($D99="","",INDEX('Start List'!P$15:P$139,MATCH($D99,'Start List'!$C$15:$C$139,0)))</f>
        <v/>
      </c>
      <c r="T99" s="80" t="str">
        <f>IF($D99="","",INDEX('Start List'!Q$15:Q$139,MATCH($D99,'Start List'!$C$15:$C$139,0)))</f>
        <v/>
      </c>
      <c r="U99" s="80" t="str">
        <f>IF($D99="","",INDEX('Start List'!R$15:R$139,MATCH($D99,'Start List'!$C$15:$C$139,0)))</f>
        <v/>
      </c>
      <c r="V99" s="80" t="str">
        <f>IF($D99="","",INDEX('Start List'!S$15:S$139,MATCH($D99,'Start List'!$C$15:$C$139,0)))</f>
        <v/>
      </c>
      <c r="W99" s="80" t="str">
        <f>IF($D99="","",INDEX('Start List'!T$15:T$139,MATCH($D99,'Start List'!$C$15:$C$139,0)))</f>
        <v/>
      </c>
      <c r="X99" s="80" t="str">
        <f>IF($D99="","",INDEX('Start List'!U$15:U$139,MATCH($D99,'Start List'!$C$15:$C$139,0)))</f>
        <v/>
      </c>
      <c r="Y99" s="80" t="str">
        <f>IF($D99="","",INDEX('Start List'!V$15:V$139,MATCH($D99,'Start List'!$C$15:$C$139,0)))</f>
        <v/>
      </c>
      <c r="Z99" s="80" t="str">
        <f>IF($D99="","",INDEX('Start List'!W$15:W$139,MATCH($D99,'Start List'!$C$15:$C$139,0)))</f>
        <v/>
      </c>
      <c r="AA99" s="80" t="str">
        <f>IF($D99="","",INDEX('Start List'!X$15:X$139,MATCH($D99,'Start List'!$C$15:$C$139,0)))</f>
        <v/>
      </c>
      <c r="AB99" s="80" t="str">
        <f>IF($D99="","",INDEX('Start List'!Y$15:Y$139,MATCH($D99,'Start List'!$C$15:$C$139,0)))</f>
        <v/>
      </c>
    </row>
    <row r="100" spans="1:28" ht="12.75" x14ac:dyDescent="0.2">
      <c r="A100" s="59" t="str">
        <f>IF(OR(COUNT('Start List'!A:A)+2='Men-Women'!A99,A99=""),"",'Men-Women'!A99+1)</f>
        <v/>
      </c>
      <c r="B100" s="228" t="str">
        <f>IF(A100="","",IF(COUNTIF($B$9:B99,$B$9)-1=COUNTIF('Start List'!C:C,"&gt;999"),'Start List'!$J$10,'Start List'!$J$9))</f>
        <v/>
      </c>
      <c r="C100" s="75" t="str">
        <f>IF(OR(B100="",COUNTIF($B$9:B100,B100)=1),"",COUNTIF($B$9:B100,B100)-1)</f>
        <v/>
      </c>
      <c r="D100" s="227" t="str">
        <f>IF(""=C100,"",IF(COUNTIF($D$9:D99,"")=2,LARGE('Start List'!C:C,A98),LARGE('Start List'!C:C,A99)))</f>
        <v/>
      </c>
      <c r="E100" s="79" t="str">
        <f>IF(C100="","",VLOOKUP(B100,Data!$AK$2:$AN$7,4,FALSE)&amp;C100)</f>
        <v/>
      </c>
      <c r="F100" s="80" t="str">
        <f>IF(COUNTIF(Data!$D$2:$D$97,'Men-Women'!$E100)=0,"",VLOOKUP('Men-Women'!$E100,Data!$D$2:$H$97,'Men-Women'!F$8,FALSE))</f>
        <v/>
      </c>
      <c r="G100" s="80" t="str">
        <f>IF(COUNTIF(Data!$D$2:$D$97,'Men-Women'!$E100)=0,"",VLOOKUP('Men-Women'!$E100,Data!$D$2:$H$97,'Men-Women'!G$8,FALSE))</f>
        <v/>
      </c>
      <c r="H100" s="80" t="str">
        <f>IF(COUNTIF(Data!$D$2:$D$97,'Men-Women'!$E100)=0,"",VLOOKUP('Men-Women'!$E100,Data!$D$2:$H$97,'Men-Women'!H$8,FALSE))</f>
        <v/>
      </c>
      <c r="I100" s="80" t="str">
        <f>IF(COUNTIF(Data!$D$2:$D$97,'Men-Women'!$E100)=0,"",VLOOKUP('Men-Women'!$E100,Data!$D$2:$H$97,'Men-Women'!I$8,FALSE))</f>
        <v/>
      </c>
      <c r="J100" s="77" t="str">
        <f>IF(B100&lt;&gt;B99,B100,IF($D100="","",INDEX('Start List'!$D$15:$D$139,MATCH($D100,'Start List'!$C$15:$C$139,0))))</f>
        <v/>
      </c>
      <c r="K100" s="77" t="str">
        <f>IF($D100="","",INDEX('Start List'!$E$15:$E$139,MATCH($D100,'Start List'!$C$15:$C$139,0)))</f>
        <v/>
      </c>
      <c r="L100" s="77" t="str">
        <f>IF($D100="","",INDEX('Start List'!$H$15:$H$139,MATCH($D100,'Start List'!$C$15:$C$139,0)))</f>
        <v/>
      </c>
      <c r="M100" s="79" t="str">
        <f>IF($D100="","",INDEX('Start List'!$F$15:$F$139,MATCH($D100,'Start List'!$C$15:$C$139,0)))</f>
        <v/>
      </c>
      <c r="N100" s="80" t="str">
        <f>IF($D100="","",INDEX('Start List'!K$15:K$139,MATCH($D100,'Start List'!$C$15:$C$139,0)))</f>
        <v/>
      </c>
      <c r="O100" s="80" t="str">
        <f>IF($D100="","",INDEX('Start List'!L$15:L$139,MATCH($D100,'Start List'!$C$15:$C$139,0)))</f>
        <v/>
      </c>
      <c r="P100" s="80" t="str">
        <f>IF($D100="","",INDEX('Start List'!M$15:M$139,MATCH($D100,'Start List'!$C$15:$C$139,0)))</f>
        <v/>
      </c>
      <c r="Q100" s="80" t="str">
        <f>IF($D100="","",INDEX('Start List'!N$15:N$139,MATCH($D100,'Start List'!$C$15:$C$139,0)))</f>
        <v/>
      </c>
      <c r="R100" s="80" t="str">
        <f>IF($D100="","",INDEX('Start List'!O$15:O$139,MATCH($D100,'Start List'!$C$15:$C$139,0)))</f>
        <v/>
      </c>
      <c r="S100" s="80" t="str">
        <f>IF($D100="","",INDEX('Start List'!P$15:P$139,MATCH($D100,'Start List'!$C$15:$C$139,0)))</f>
        <v/>
      </c>
      <c r="T100" s="80" t="str">
        <f>IF($D100="","",INDEX('Start List'!Q$15:Q$139,MATCH($D100,'Start List'!$C$15:$C$139,0)))</f>
        <v/>
      </c>
      <c r="U100" s="80" t="str">
        <f>IF($D100="","",INDEX('Start List'!R$15:R$139,MATCH($D100,'Start List'!$C$15:$C$139,0)))</f>
        <v/>
      </c>
      <c r="V100" s="80" t="str">
        <f>IF($D100="","",INDEX('Start List'!S$15:S$139,MATCH($D100,'Start List'!$C$15:$C$139,0)))</f>
        <v/>
      </c>
      <c r="W100" s="80" t="str">
        <f>IF($D100="","",INDEX('Start List'!T$15:T$139,MATCH($D100,'Start List'!$C$15:$C$139,0)))</f>
        <v/>
      </c>
      <c r="X100" s="80" t="str">
        <f>IF($D100="","",INDEX('Start List'!U$15:U$139,MATCH($D100,'Start List'!$C$15:$C$139,0)))</f>
        <v/>
      </c>
      <c r="Y100" s="80" t="str">
        <f>IF($D100="","",INDEX('Start List'!V$15:V$139,MATCH($D100,'Start List'!$C$15:$C$139,0)))</f>
        <v/>
      </c>
      <c r="Z100" s="80" t="str">
        <f>IF($D100="","",INDEX('Start List'!W$15:W$139,MATCH($D100,'Start List'!$C$15:$C$139,0)))</f>
        <v/>
      </c>
      <c r="AA100" s="80" t="str">
        <f>IF($D100="","",INDEX('Start List'!X$15:X$139,MATCH($D100,'Start List'!$C$15:$C$139,0)))</f>
        <v/>
      </c>
      <c r="AB100" s="80" t="str">
        <f>IF($D100="","",INDEX('Start List'!Y$15:Y$139,MATCH($D100,'Start List'!$C$15:$C$139,0)))</f>
        <v/>
      </c>
    </row>
    <row r="101" spans="1:28" ht="12.75" x14ac:dyDescent="0.2">
      <c r="A101" s="59" t="str">
        <f>IF(OR(COUNT('Start List'!A:A)+2='Men-Women'!A100,A100=""),"",'Men-Women'!A100+1)</f>
        <v/>
      </c>
      <c r="B101" s="228" t="str">
        <f>IF(A101="","",IF(COUNTIF($B$9:B100,$B$9)-1=COUNTIF('Start List'!C:C,"&gt;999"),'Start List'!$J$10,'Start List'!$J$9))</f>
        <v/>
      </c>
      <c r="C101" s="75" t="str">
        <f>IF(OR(B101="",COUNTIF($B$9:B101,B101)=1),"",COUNTIF($B$9:B101,B101)-1)</f>
        <v/>
      </c>
      <c r="D101" s="227" t="str">
        <f>IF(""=C101,"",IF(COUNTIF($D$9:D100,"")=2,LARGE('Start List'!C:C,A99),LARGE('Start List'!C:C,A100)))</f>
        <v/>
      </c>
      <c r="E101" s="79" t="str">
        <f>IF(C101="","",VLOOKUP(B101,Data!$AK$2:$AN$7,4,FALSE)&amp;C101)</f>
        <v/>
      </c>
      <c r="F101" s="80" t="str">
        <f>IF(COUNTIF(Data!$D$2:$D$97,'Men-Women'!$E101)=0,"",VLOOKUP('Men-Women'!$E101,Data!$D$2:$H$97,'Men-Women'!F$8,FALSE))</f>
        <v/>
      </c>
      <c r="G101" s="80" t="str">
        <f>IF(COUNTIF(Data!$D$2:$D$97,'Men-Women'!$E101)=0,"",VLOOKUP('Men-Women'!$E101,Data!$D$2:$H$97,'Men-Women'!G$8,FALSE))</f>
        <v/>
      </c>
      <c r="H101" s="80" t="str">
        <f>IF(COUNTIF(Data!$D$2:$D$97,'Men-Women'!$E101)=0,"",VLOOKUP('Men-Women'!$E101,Data!$D$2:$H$97,'Men-Women'!H$8,FALSE))</f>
        <v/>
      </c>
      <c r="I101" s="80" t="str">
        <f>IF(COUNTIF(Data!$D$2:$D$97,'Men-Women'!$E101)=0,"",VLOOKUP('Men-Women'!$E101,Data!$D$2:$H$97,'Men-Women'!I$8,FALSE))</f>
        <v/>
      </c>
      <c r="J101" s="77" t="str">
        <f>IF(B101&lt;&gt;B100,B101,IF($D101="","",INDEX('Start List'!$D$15:$D$139,MATCH($D101,'Start List'!$C$15:$C$139,0))))</f>
        <v/>
      </c>
      <c r="K101" s="77" t="str">
        <f>IF($D101="","",INDEX('Start List'!$E$15:$E$139,MATCH($D101,'Start List'!$C$15:$C$139,0)))</f>
        <v/>
      </c>
      <c r="L101" s="77" t="str">
        <f>IF($D101="","",INDEX('Start List'!$H$15:$H$139,MATCH($D101,'Start List'!$C$15:$C$139,0)))</f>
        <v/>
      </c>
      <c r="M101" s="79" t="str">
        <f>IF($D101="","",INDEX('Start List'!$F$15:$F$139,MATCH($D101,'Start List'!$C$15:$C$139,0)))</f>
        <v/>
      </c>
      <c r="N101" s="80" t="str">
        <f>IF($D101="","",INDEX('Start List'!K$15:K$139,MATCH($D101,'Start List'!$C$15:$C$139,0)))</f>
        <v/>
      </c>
      <c r="O101" s="80" t="str">
        <f>IF($D101="","",INDEX('Start List'!L$15:L$139,MATCH($D101,'Start List'!$C$15:$C$139,0)))</f>
        <v/>
      </c>
      <c r="P101" s="80" t="str">
        <f>IF($D101="","",INDEX('Start List'!M$15:M$139,MATCH($D101,'Start List'!$C$15:$C$139,0)))</f>
        <v/>
      </c>
      <c r="Q101" s="80" t="str">
        <f>IF($D101="","",INDEX('Start List'!N$15:N$139,MATCH($D101,'Start List'!$C$15:$C$139,0)))</f>
        <v/>
      </c>
      <c r="R101" s="80" t="str">
        <f>IF($D101="","",INDEX('Start List'!O$15:O$139,MATCH($D101,'Start List'!$C$15:$C$139,0)))</f>
        <v/>
      </c>
      <c r="S101" s="80" t="str">
        <f>IF($D101="","",INDEX('Start List'!P$15:P$139,MATCH($D101,'Start List'!$C$15:$C$139,0)))</f>
        <v/>
      </c>
      <c r="T101" s="80" t="str">
        <f>IF($D101="","",INDEX('Start List'!Q$15:Q$139,MATCH($D101,'Start List'!$C$15:$C$139,0)))</f>
        <v/>
      </c>
      <c r="U101" s="80" t="str">
        <f>IF($D101="","",INDEX('Start List'!R$15:R$139,MATCH($D101,'Start List'!$C$15:$C$139,0)))</f>
        <v/>
      </c>
      <c r="V101" s="80" t="str">
        <f>IF($D101="","",INDEX('Start List'!S$15:S$139,MATCH($D101,'Start List'!$C$15:$C$139,0)))</f>
        <v/>
      </c>
      <c r="W101" s="80" t="str">
        <f>IF($D101="","",INDEX('Start List'!T$15:T$139,MATCH($D101,'Start List'!$C$15:$C$139,0)))</f>
        <v/>
      </c>
      <c r="X101" s="80" t="str">
        <f>IF($D101="","",INDEX('Start List'!U$15:U$139,MATCH($D101,'Start List'!$C$15:$C$139,0)))</f>
        <v/>
      </c>
      <c r="Y101" s="80" t="str">
        <f>IF($D101="","",INDEX('Start List'!V$15:V$139,MATCH($D101,'Start List'!$C$15:$C$139,0)))</f>
        <v/>
      </c>
      <c r="Z101" s="80" t="str">
        <f>IF($D101="","",INDEX('Start List'!W$15:W$139,MATCH($D101,'Start List'!$C$15:$C$139,0)))</f>
        <v/>
      </c>
      <c r="AA101" s="80" t="str">
        <f>IF($D101="","",INDEX('Start List'!X$15:X$139,MATCH($D101,'Start List'!$C$15:$C$139,0)))</f>
        <v/>
      </c>
      <c r="AB101" s="80" t="str">
        <f>IF($D101="","",INDEX('Start List'!Y$15:Y$139,MATCH($D101,'Start List'!$C$15:$C$139,0)))</f>
        <v/>
      </c>
    </row>
    <row r="102" spans="1:28" ht="12.75" x14ac:dyDescent="0.2">
      <c r="A102" s="59" t="str">
        <f>IF(OR(COUNT('Start List'!A:A)+2='Men-Women'!A101,A101=""),"",'Men-Women'!A101+1)</f>
        <v/>
      </c>
      <c r="B102" s="228" t="str">
        <f>IF(A102="","",IF(COUNTIF($B$9:B101,$B$9)-1=COUNTIF('Start List'!C:C,"&gt;999"),'Start List'!$J$10,'Start List'!$J$9))</f>
        <v/>
      </c>
      <c r="C102" s="75" t="str">
        <f>IF(OR(B102="",COUNTIF($B$9:B102,B102)=1),"",COUNTIF($B$9:B102,B102)-1)</f>
        <v/>
      </c>
      <c r="D102" s="227" t="str">
        <f>IF(""=C102,"",IF(COUNTIF($D$9:D101,"")=2,LARGE('Start List'!C:C,A100),LARGE('Start List'!C:C,A101)))</f>
        <v/>
      </c>
      <c r="E102" s="79" t="str">
        <f>IF(C102="","",VLOOKUP(B102,Data!$AK$2:$AN$7,4,FALSE)&amp;C102)</f>
        <v/>
      </c>
      <c r="F102" s="80" t="str">
        <f>IF(COUNTIF(Data!$D$2:$D$97,'Men-Women'!$E102)=0,"",VLOOKUP('Men-Women'!$E102,Data!$D$2:$H$97,'Men-Women'!F$8,FALSE))</f>
        <v/>
      </c>
      <c r="G102" s="80" t="str">
        <f>IF(COUNTIF(Data!$D$2:$D$97,'Men-Women'!$E102)=0,"",VLOOKUP('Men-Women'!$E102,Data!$D$2:$H$97,'Men-Women'!G$8,FALSE))</f>
        <v/>
      </c>
      <c r="H102" s="80" t="str">
        <f>IF(COUNTIF(Data!$D$2:$D$97,'Men-Women'!$E102)=0,"",VLOOKUP('Men-Women'!$E102,Data!$D$2:$H$97,'Men-Women'!H$8,FALSE))</f>
        <v/>
      </c>
      <c r="I102" s="80" t="str">
        <f>IF(COUNTIF(Data!$D$2:$D$97,'Men-Women'!$E102)=0,"",VLOOKUP('Men-Women'!$E102,Data!$D$2:$H$97,'Men-Women'!I$8,FALSE))</f>
        <v/>
      </c>
      <c r="J102" s="77" t="str">
        <f>IF(B102&lt;&gt;B101,B102,IF($D102="","",INDEX('Start List'!$D$15:$D$139,MATCH($D102,'Start List'!$C$15:$C$139,0))))</f>
        <v/>
      </c>
      <c r="K102" s="77" t="str">
        <f>IF($D102="","",INDEX('Start List'!$E$15:$E$139,MATCH($D102,'Start List'!$C$15:$C$139,0)))</f>
        <v/>
      </c>
      <c r="L102" s="77" t="str">
        <f>IF($D102="","",INDEX('Start List'!$H$15:$H$139,MATCH($D102,'Start List'!$C$15:$C$139,0)))</f>
        <v/>
      </c>
      <c r="M102" s="79" t="str">
        <f>IF($D102="","",INDEX('Start List'!$F$15:$F$139,MATCH($D102,'Start List'!$C$15:$C$139,0)))</f>
        <v/>
      </c>
      <c r="N102" s="80" t="str">
        <f>IF($D102="","",INDEX('Start List'!K$15:K$139,MATCH($D102,'Start List'!$C$15:$C$139,0)))</f>
        <v/>
      </c>
      <c r="O102" s="80" t="str">
        <f>IF($D102="","",INDEX('Start List'!L$15:L$139,MATCH($D102,'Start List'!$C$15:$C$139,0)))</f>
        <v/>
      </c>
      <c r="P102" s="80" t="str">
        <f>IF($D102="","",INDEX('Start List'!M$15:M$139,MATCH($D102,'Start List'!$C$15:$C$139,0)))</f>
        <v/>
      </c>
      <c r="Q102" s="80" t="str">
        <f>IF($D102="","",INDEX('Start List'!N$15:N$139,MATCH($D102,'Start List'!$C$15:$C$139,0)))</f>
        <v/>
      </c>
      <c r="R102" s="80" t="str">
        <f>IF($D102="","",INDEX('Start List'!O$15:O$139,MATCH($D102,'Start List'!$C$15:$C$139,0)))</f>
        <v/>
      </c>
      <c r="S102" s="80" t="str">
        <f>IF($D102="","",INDEX('Start List'!P$15:P$139,MATCH($D102,'Start List'!$C$15:$C$139,0)))</f>
        <v/>
      </c>
      <c r="T102" s="80" t="str">
        <f>IF($D102="","",INDEX('Start List'!Q$15:Q$139,MATCH($D102,'Start List'!$C$15:$C$139,0)))</f>
        <v/>
      </c>
      <c r="U102" s="80" t="str">
        <f>IF($D102="","",INDEX('Start List'!R$15:R$139,MATCH($D102,'Start List'!$C$15:$C$139,0)))</f>
        <v/>
      </c>
      <c r="V102" s="80" t="str">
        <f>IF($D102="","",INDEX('Start List'!S$15:S$139,MATCH($D102,'Start List'!$C$15:$C$139,0)))</f>
        <v/>
      </c>
      <c r="W102" s="80" t="str">
        <f>IF($D102="","",INDEX('Start List'!T$15:T$139,MATCH($D102,'Start List'!$C$15:$C$139,0)))</f>
        <v/>
      </c>
      <c r="X102" s="80" t="str">
        <f>IF($D102="","",INDEX('Start List'!U$15:U$139,MATCH($D102,'Start List'!$C$15:$C$139,0)))</f>
        <v/>
      </c>
      <c r="Y102" s="80" t="str">
        <f>IF($D102="","",INDEX('Start List'!V$15:V$139,MATCH($D102,'Start List'!$C$15:$C$139,0)))</f>
        <v/>
      </c>
      <c r="Z102" s="80" t="str">
        <f>IF($D102="","",INDEX('Start List'!W$15:W$139,MATCH($D102,'Start List'!$C$15:$C$139,0)))</f>
        <v/>
      </c>
      <c r="AA102" s="80" t="str">
        <f>IF($D102="","",INDEX('Start List'!X$15:X$139,MATCH($D102,'Start List'!$C$15:$C$139,0)))</f>
        <v/>
      </c>
      <c r="AB102" s="80" t="str">
        <f>IF($D102="","",INDEX('Start List'!Y$15:Y$139,MATCH($D102,'Start List'!$C$15:$C$139,0)))</f>
        <v/>
      </c>
    </row>
    <row r="103" spans="1:28" ht="12.75" x14ac:dyDescent="0.2">
      <c r="A103" s="59" t="str">
        <f>IF(OR(COUNT('Start List'!A:A)+2='Men-Women'!A102,A102=""),"",'Men-Women'!A102+1)</f>
        <v/>
      </c>
      <c r="B103" s="228" t="str">
        <f>IF(A103="","",IF(COUNTIF($B$9:B102,$B$9)-1=COUNTIF('Start List'!C:C,"&gt;999"),'Start List'!$J$10,'Start List'!$J$9))</f>
        <v/>
      </c>
      <c r="C103" s="75" t="str">
        <f>IF(OR(B103="",COUNTIF($B$9:B103,B103)=1),"",COUNTIF($B$9:B103,B103)-1)</f>
        <v/>
      </c>
      <c r="D103" s="227" t="str">
        <f>IF(""=C103,"",IF(COUNTIF($D$9:D102,"")=2,LARGE('Start List'!C:C,A101),LARGE('Start List'!C:C,A102)))</f>
        <v/>
      </c>
      <c r="E103" s="79" t="str">
        <f>IF(C103="","",VLOOKUP(B103,Data!$AK$2:$AN$7,4,FALSE)&amp;C103)</f>
        <v/>
      </c>
      <c r="F103" s="80" t="str">
        <f>IF(COUNTIF(Data!$D$2:$D$97,'Men-Women'!$E103)=0,"",VLOOKUP('Men-Women'!$E103,Data!$D$2:$H$97,'Men-Women'!F$8,FALSE))</f>
        <v/>
      </c>
      <c r="G103" s="80" t="str">
        <f>IF(COUNTIF(Data!$D$2:$D$97,'Men-Women'!$E103)=0,"",VLOOKUP('Men-Women'!$E103,Data!$D$2:$H$97,'Men-Women'!G$8,FALSE))</f>
        <v/>
      </c>
      <c r="H103" s="80" t="str">
        <f>IF(COUNTIF(Data!$D$2:$D$97,'Men-Women'!$E103)=0,"",VLOOKUP('Men-Women'!$E103,Data!$D$2:$H$97,'Men-Women'!H$8,FALSE))</f>
        <v/>
      </c>
      <c r="I103" s="80" t="str">
        <f>IF(COUNTIF(Data!$D$2:$D$97,'Men-Women'!$E103)=0,"",VLOOKUP('Men-Women'!$E103,Data!$D$2:$H$97,'Men-Women'!I$8,FALSE))</f>
        <v/>
      </c>
      <c r="J103" s="77" t="str">
        <f>IF(B103&lt;&gt;B102,B103,IF($D103="","",INDEX('Start List'!$D$15:$D$139,MATCH($D103,'Start List'!$C$15:$C$139,0))))</f>
        <v/>
      </c>
      <c r="K103" s="77" t="str">
        <f>IF($D103="","",INDEX('Start List'!$E$15:$E$139,MATCH($D103,'Start List'!$C$15:$C$139,0)))</f>
        <v/>
      </c>
      <c r="L103" s="77" t="str">
        <f>IF($D103="","",INDEX('Start List'!$H$15:$H$139,MATCH($D103,'Start List'!$C$15:$C$139,0)))</f>
        <v/>
      </c>
      <c r="M103" s="79" t="str">
        <f>IF($D103="","",INDEX('Start List'!$F$15:$F$139,MATCH($D103,'Start List'!$C$15:$C$139,0)))</f>
        <v/>
      </c>
      <c r="N103" s="80" t="str">
        <f>IF($D103="","",INDEX('Start List'!K$15:K$139,MATCH($D103,'Start List'!$C$15:$C$139,0)))</f>
        <v/>
      </c>
      <c r="O103" s="80" t="str">
        <f>IF($D103="","",INDEX('Start List'!L$15:L$139,MATCH($D103,'Start List'!$C$15:$C$139,0)))</f>
        <v/>
      </c>
      <c r="P103" s="80" t="str">
        <f>IF($D103="","",INDEX('Start List'!M$15:M$139,MATCH($D103,'Start List'!$C$15:$C$139,0)))</f>
        <v/>
      </c>
      <c r="Q103" s="80" t="str">
        <f>IF($D103="","",INDEX('Start List'!N$15:N$139,MATCH($D103,'Start List'!$C$15:$C$139,0)))</f>
        <v/>
      </c>
      <c r="R103" s="80" t="str">
        <f>IF($D103="","",INDEX('Start List'!O$15:O$139,MATCH($D103,'Start List'!$C$15:$C$139,0)))</f>
        <v/>
      </c>
      <c r="S103" s="80" t="str">
        <f>IF($D103="","",INDEX('Start List'!P$15:P$139,MATCH($D103,'Start List'!$C$15:$C$139,0)))</f>
        <v/>
      </c>
      <c r="T103" s="80" t="str">
        <f>IF($D103="","",INDEX('Start List'!Q$15:Q$139,MATCH($D103,'Start List'!$C$15:$C$139,0)))</f>
        <v/>
      </c>
      <c r="U103" s="80" t="str">
        <f>IF($D103="","",INDEX('Start List'!R$15:R$139,MATCH($D103,'Start List'!$C$15:$C$139,0)))</f>
        <v/>
      </c>
      <c r="V103" s="80" t="str">
        <f>IF($D103="","",INDEX('Start List'!S$15:S$139,MATCH($D103,'Start List'!$C$15:$C$139,0)))</f>
        <v/>
      </c>
      <c r="W103" s="80" t="str">
        <f>IF($D103="","",INDEX('Start List'!T$15:T$139,MATCH($D103,'Start List'!$C$15:$C$139,0)))</f>
        <v/>
      </c>
      <c r="X103" s="80" t="str">
        <f>IF($D103="","",INDEX('Start List'!U$15:U$139,MATCH($D103,'Start List'!$C$15:$C$139,0)))</f>
        <v/>
      </c>
      <c r="Y103" s="80" t="str">
        <f>IF($D103="","",INDEX('Start List'!V$15:V$139,MATCH($D103,'Start List'!$C$15:$C$139,0)))</f>
        <v/>
      </c>
      <c r="Z103" s="80" t="str">
        <f>IF($D103="","",INDEX('Start List'!W$15:W$139,MATCH($D103,'Start List'!$C$15:$C$139,0)))</f>
        <v/>
      </c>
      <c r="AA103" s="80" t="str">
        <f>IF($D103="","",INDEX('Start List'!X$15:X$139,MATCH($D103,'Start List'!$C$15:$C$139,0)))</f>
        <v/>
      </c>
      <c r="AB103" s="80" t="str">
        <f>IF($D103="","",INDEX('Start List'!Y$15:Y$139,MATCH($D103,'Start List'!$C$15:$C$139,0)))</f>
        <v/>
      </c>
    </row>
    <row r="104" spans="1:28" ht="12.75" x14ac:dyDescent="0.2">
      <c r="A104" s="59" t="str">
        <f>IF(OR(COUNT('Start List'!A:A)+2='Men-Women'!A103,A103=""),"",'Men-Women'!A103+1)</f>
        <v/>
      </c>
      <c r="B104" s="228" t="str">
        <f>IF(A104="","",IF(COUNTIF($B$9:B103,$B$9)-1=COUNTIF('Start List'!C:C,"&gt;999"),'Start List'!$J$10,'Start List'!$J$9))</f>
        <v/>
      </c>
      <c r="C104" s="75" t="str">
        <f>IF(OR(B104="",COUNTIF($B$9:B104,B104)=1),"",COUNTIF($B$9:B104,B104)-1)</f>
        <v/>
      </c>
      <c r="D104" s="227" t="str">
        <f>IF(""=C104,"",IF(COUNTIF($D$9:D103,"")=2,LARGE('Start List'!C:C,A102),LARGE('Start List'!C:C,A103)))</f>
        <v/>
      </c>
      <c r="E104" s="79" t="str">
        <f>IF(C104="","",VLOOKUP(B104,Data!$AK$2:$AN$7,4,FALSE)&amp;C104)</f>
        <v/>
      </c>
      <c r="F104" s="80" t="str">
        <f>IF(COUNTIF(Data!$D$2:$D$97,'Men-Women'!$E104)=0,"",VLOOKUP('Men-Women'!$E104,Data!$D$2:$H$97,'Men-Women'!F$8,FALSE))</f>
        <v/>
      </c>
      <c r="G104" s="80" t="str">
        <f>IF(COUNTIF(Data!$D$2:$D$97,'Men-Women'!$E104)=0,"",VLOOKUP('Men-Women'!$E104,Data!$D$2:$H$97,'Men-Women'!G$8,FALSE))</f>
        <v/>
      </c>
      <c r="H104" s="80" t="str">
        <f>IF(COUNTIF(Data!$D$2:$D$97,'Men-Women'!$E104)=0,"",VLOOKUP('Men-Women'!$E104,Data!$D$2:$H$97,'Men-Women'!H$8,FALSE))</f>
        <v/>
      </c>
      <c r="I104" s="80" t="str">
        <f>IF(COUNTIF(Data!$D$2:$D$97,'Men-Women'!$E104)=0,"",VLOOKUP('Men-Women'!$E104,Data!$D$2:$H$97,'Men-Women'!I$8,FALSE))</f>
        <v/>
      </c>
      <c r="J104" s="77" t="str">
        <f>IF(B104&lt;&gt;B103,B104,IF($D104="","",INDEX('Start List'!$D$15:$D$139,MATCH($D104,'Start List'!$C$15:$C$139,0))))</f>
        <v/>
      </c>
      <c r="K104" s="77" t="str">
        <f>IF($D104="","",INDEX('Start List'!$E$15:$E$139,MATCH($D104,'Start List'!$C$15:$C$139,0)))</f>
        <v/>
      </c>
      <c r="L104" s="77" t="str">
        <f>IF($D104="","",INDEX('Start List'!$H$15:$H$139,MATCH($D104,'Start List'!$C$15:$C$139,0)))</f>
        <v/>
      </c>
      <c r="M104" s="79" t="str">
        <f>IF($D104="","",INDEX('Start List'!$F$15:$F$139,MATCH($D104,'Start List'!$C$15:$C$139,0)))</f>
        <v/>
      </c>
      <c r="N104" s="80" t="str">
        <f>IF($D104="","",INDEX('Start List'!K$15:K$139,MATCH($D104,'Start List'!$C$15:$C$139,0)))</f>
        <v/>
      </c>
      <c r="O104" s="80" t="str">
        <f>IF($D104="","",INDEX('Start List'!L$15:L$139,MATCH($D104,'Start List'!$C$15:$C$139,0)))</f>
        <v/>
      </c>
      <c r="P104" s="80" t="str">
        <f>IF($D104="","",INDEX('Start List'!M$15:M$139,MATCH($D104,'Start List'!$C$15:$C$139,0)))</f>
        <v/>
      </c>
      <c r="Q104" s="80" t="str">
        <f>IF($D104="","",INDEX('Start List'!N$15:N$139,MATCH($D104,'Start List'!$C$15:$C$139,0)))</f>
        <v/>
      </c>
      <c r="R104" s="80" t="str">
        <f>IF($D104="","",INDEX('Start List'!O$15:O$139,MATCH($D104,'Start List'!$C$15:$C$139,0)))</f>
        <v/>
      </c>
      <c r="S104" s="80" t="str">
        <f>IF($D104="","",INDEX('Start List'!P$15:P$139,MATCH($D104,'Start List'!$C$15:$C$139,0)))</f>
        <v/>
      </c>
      <c r="T104" s="80" t="str">
        <f>IF($D104="","",INDEX('Start List'!Q$15:Q$139,MATCH($D104,'Start List'!$C$15:$C$139,0)))</f>
        <v/>
      </c>
      <c r="U104" s="80" t="str">
        <f>IF($D104="","",INDEX('Start List'!R$15:R$139,MATCH($D104,'Start List'!$C$15:$C$139,0)))</f>
        <v/>
      </c>
      <c r="V104" s="80" t="str">
        <f>IF($D104="","",INDEX('Start List'!S$15:S$139,MATCH($D104,'Start List'!$C$15:$C$139,0)))</f>
        <v/>
      </c>
      <c r="W104" s="80" t="str">
        <f>IF($D104="","",INDEX('Start List'!T$15:T$139,MATCH($D104,'Start List'!$C$15:$C$139,0)))</f>
        <v/>
      </c>
      <c r="X104" s="80" t="str">
        <f>IF($D104="","",INDEX('Start List'!U$15:U$139,MATCH($D104,'Start List'!$C$15:$C$139,0)))</f>
        <v/>
      </c>
      <c r="Y104" s="80" t="str">
        <f>IF($D104="","",INDEX('Start List'!V$15:V$139,MATCH($D104,'Start List'!$C$15:$C$139,0)))</f>
        <v/>
      </c>
      <c r="Z104" s="80" t="str">
        <f>IF($D104="","",INDEX('Start List'!W$15:W$139,MATCH($D104,'Start List'!$C$15:$C$139,0)))</f>
        <v/>
      </c>
      <c r="AA104" s="80" t="str">
        <f>IF($D104="","",INDEX('Start List'!X$15:X$139,MATCH($D104,'Start List'!$C$15:$C$139,0)))</f>
        <v/>
      </c>
      <c r="AB104" s="80" t="str">
        <f>IF($D104="","",INDEX('Start List'!Y$15:Y$139,MATCH($D104,'Start List'!$C$15:$C$139,0)))</f>
        <v/>
      </c>
    </row>
    <row r="105" spans="1:28" ht="12.75" x14ac:dyDescent="0.2">
      <c r="A105" s="59" t="str">
        <f>IF(OR(COUNT('Start List'!A:A)+2='Men-Women'!A104,A104=""),"",'Men-Women'!A104+1)</f>
        <v/>
      </c>
      <c r="B105" s="228" t="str">
        <f>IF(A105="","",IF(COUNTIF($B$9:B104,$B$9)-1=COUNTIF('Start List'!C:C,"&gt;999"),'Start List'!$J$10,'Start List'!$J$9))</f>
        <v/>
      </c>
      <c r="C105" s="75" t="str">
        <f>IF(OR(B105="",COUNTIF($B$9:B105,B105)=1),"",COUNTIF($B$9:B105,B105)-1)</f>
        <v/>
      </c>
      <c r="D105" s="227" t="str">
        <f>IF(""=C105,"",IF(COUNTIF($D$9:D104,"")=2,LARGE('Start List'!C:C,A103),LARGE('Start List'!C:C,A104)))</f>
        <v/>
      </c>
      <c r="E105" s="79" t="str">
        <f>IF(C105="","",VLOOKUP(B105,Data!$AK$2:$AN$7,4,FALSE)&amp;C105)</f>
        <v/>
      </c>
      <c r="F105" s="80" t="str">
        <f>IF(COUNTIF(Data!$D$2:$D$97,'Men-Women'!$E105)=0,"",VLOOKUP('Men-Women'!$E105,Data!$D$2:$H$97,'Men-Women'!F$8,FALSE))</f>
        <v/>
      </c>
      <c r="G105" s="80" t="str">
        <f>IF(COUNTIF(Data!$D$2:$D$97,'Men-Women'!$E105)=0,"",VLOOKUP('Men-Women'!$E105,Data!$D$2:$H$97,'Men-Women'!G$8,FALSE))</f>
        <v/>
      </c>
      <c r="H105" s="80" t="str">
        <f>IF(COUNTIF(Data!$D$2:$D$97,'Men-Women'!$E105)=0,"",VLOOKUP('Men-Women'!$E105,Data!$D$2:$H$97,'Men-Women'!H$8,FALSE))</f>
        <v/>
      </c>
      <c r="I105" s="80" t="str">
        <f>IF(COUNTIF(Data!$D$2:$D$97,'Men-Women'!$E105)=0,"",VLOOKUP('Men-Women'!$E105,Data!$D$2:$H$97,'Men-Women'!I$8,FALSE))</f>
        <v/>
      </c>
      <c r="J105" s="77" t="str">
        <f>IF(B105&lt;&gt;B104,B105,IF($D105="","",INDEX('Start List'!$D$15:$D$139,MATCH($D105,'Start List'!$C$15:$C$139,0))))</f>
        <v/>
      </c>
      <c r="K105" s="77" t="str">
        <f>IF($D105="","",INDEX('Start List'!$E$15:$E$139,MATCH($D105,'Start List'!$C$15:$C$139,0)))</f>
        <v/>
      </c>
      <c r="L105" s="77" t="str">
        <f>IF($D105="","",INDEX('Start List'!$H$15:$H$139,MATCH($D105,'Start List'!$C$15:$C$139,0)))</f>
        <v/>
      </c>
      <c r="M105" s="79" t="str">
        <f>IF($D105="","",INDEX('Start List'!$F$15:$F$139,MATCH($D105,'Start List'!$C$15:$C$139,0)))</f>
        <v/>
      </c>
      <c r="N105" s="80" t="str">
        <f>IF($D105="","",INDEX('Start List'!K$15:K$139,MATCH($D105,'Start List'!$C$15:$C$139,0)))</f>
        <v/>
      </c>
      <c r="O105" s="80" t="str">
        <f>IF($D105="","",INDEX('Start List'!L$15:L$139,MATCH($D105,'Start List'!$C$15:$C$139,0)))</f>
        <v/>
      </c>
      <c r="P105" s="80" t="str">
        <f>IF($D105="","",INDEX('Start List'!M$15:M$139,MATCH($D105,'Start List'!$C$15:$C$139,0)))</f>
        <v/>
      </c>
      <c r="Q105" s="80" t="str">
        <f>IF($D105="","",INDEX('Start List'!N$15:N$139,MATCH($D105,'Start List'!$C$15:$C$139,0)))</f>
        <v/>
      </c>
      <c r="R105" s="80" t="str">
        <f>IF($D105="","",INDEX('Start List'!O$15:O$139,MATCH($D105,'Start List'!$C$15:$C$139,0)))</f>
        <v/>
      </c>
      <c r="S105" s="80" t="str">
        <f>IF($D105="","",INDEX('Start List'!P$15:P$139,MATCH($D105,'Start List'!$C$15:$C$139,0)))</f>
        <v/>
      </c>
      <c r="T105" s="80" t="str">
        <f>IF($D105="","",INDEX('Start List'!Q$15:Q$139,MATCH($D105,'Start List'!$C$15:$C$139,0)))</f>
        <v/>
      </c>
      <c r="U105" s="80" t="str">
        <f>IF($D105="","",INDEX('Start List'!R$15:R$139,MATCH($D105,'Start List'!$C$15:$C$139,0)))</f>
        <v/>
      </c>
      <c r="V105" s="80" t="str">
        <f>IF($D105="","",INDEX('Start List'!S$15:S$139,MATCH($D105,'Start List'!$C$15:$C$139,0)))</f>
        <v/>
      </c>
      <c r="W105" s="80" t="str">
        <f>IF($D105="","",INDEX('Start List'!T$15:T$139,MATCH($D105,'Start List'!$C$15:$C$139,0)))</f>
        <v/>
      </c>
      <c r="X105" s="80" t="str">
        <f>IF($D105="","",INDEX('Start List'!U$15:U$139,MATCH($D105,'Start List'!$C$15:$C$139,0)))</f>
        <v/>
      </c>
      <c r="Y105" s="80" t="str">
        <f>IF($D105="","",INDEX('Start List'!V$15:V$139,MATCH($D105,'Start List'!$C$15:$C$139,0)))</f>
        <v/>
      </c>
      <c r="Z105" s="80" t="str">
        <f>IF($D105="","",INDEX('Start List'!W$15:W$139,MATCH($D105,'Start List'!$C$15:$C$139,0)))</f>
        <v/>
      </c>
      <c r="AA105" s="80" t="str">
        <f>IF($D105="","",INDEX('Start List'!X$15:X$139,MATCH($D105,'Start List'!$C$15:$C$139,0)))</f>
        <v/>
      </c>
      <c r="AB105" s="80" t="str">
        <f>IF($D105="","",INDEX('Start List'!Y$15:Y$139,MATCH($D105,'Start List'!$C$15:$C$139,0)))</f>
        <v/>
      </c>
    </row>
    <row r="106" spans="1:28" ht="12.75" x14ac:dyDescent="0.2">
      <c r="A106" s="59" t="str">
        <f>IF(OR(COUNT('Start List'!A:A)+2='Men-Women'!A105,A105=""),"",'Men-Women'!A105+1)</f>
        <v/>
      </c>
      <c r="B106" s="228" t="str">
        <f>IF(A106="","",IF(COUNTIF($B$9:B105,$B$9)-1=COUNTIF('Start List'!C:C,"&gt;999"),'Start List'!$J$10,'Start List'!$J$9))</f>
        <v/>
      </c>
      <c r="C106" s="75" t="str">
        <f>IF(OR(B106="",COUNTIF($B$9:B106,B106)=1),"",COUNTIF($B$9:B106,B106)-1)</f>
        <v/>
      </c>
      <c r="D106" s="227" t="str">
        <f>IF(""=C106,"",IF(COUNTIF($D$9:D105,"")=2,LARGE('Start List'!C:C,A104),LARGE('Start List'!C:C,A105)))</f>
        <v/>
      </c>
      <c r="E106" s="79" t="str">
        <f>IF(C106="","",VLOOKUP(B106,Data!$AK$2:$AN$7,4,FALSE)&amp;C106)</f>
        <v/>
      </c>
      <c r="F106" s="80" t="str">
        <f>IF(COUNTIF(Data!$D$2:$D$97,'Men-Women'!$E106)=0,"",VLOOKUP('Men-Women'!$E106,Data!$D$2:$H$97,'Men-Women'!F$8,FALSE))</f>
        <v/>
      </c>
      <c r="G106" s="80" t="str">
        <f>IF(COUNTIF(Data!$D$2:$D$97,'Men-Women'!$E106)=0,"",VLOOKUP('Men-Women'!$E106,Data!$D$2:$H$97,'Men-Women'!G$8,FALSE))</f>
        <v/>
      </c>
      <c r="H106" s="80" t="str">
        <f>IF(COUNTIF(Data!$D$2:$D$97,'Men-Women'!$E106)=0,"",VLOOKUP('Men-Women'!$E106,Data!$D$2:$H$97,'Men-Women'!H$8,FALSE))</f>
        <v/>
      </c>
      <c r="I106" s="80" t="str">
        <f>IF(COUNTIF(Data!$D$2:$D$97,'Men-Women'!$E106)=0,"",VLOOKUP('Men-Women'!$E106,Data!$D$2:$H$97,'Men-Women'!I$8,FALSE))</f>
        <v/>
      </c>
      <c r="J106" s="77" t="str">
        <f>IF(B106&lt;&gt;B105,B106,IF($D106="","",INDEX('Start List'!$D$15:$D$139,MATCH($D106,'Start List'!$C$15:$C$139,0))))</f>
        <v/>
      </c>
      <c r="K106" s="77" t="str">
        <f>IF($D106="","",INDEX('Start List'!$E$15:$E$139,MATCH($D106,'Start List'!$C$15:$C$139,0)))</f>
        <v/>
      </c>
      <c r="L106" s="77" t="str">
        <f>IF($D106="","",INDEX('Start List'!$H$15:$H$139,MATCH($D106,'Start List'!$C$15:$C$139,0)))</f>
        <v/>
      </c>
      <c r="M106" s="79" t="str">
        <f>IF($D106="","",INDEX('Start List'!$F$15:$F$139,MATCH($D106,'Start List'!$C$15:$C$139,0)))</f>
        <v/>
      </c>
      <c r="N106" s="80" t="str">
        <f>IF($D106="","",INDEX('Start List'!K$15:K$139,MATCH($D106,'Start List'!$C$15:$C$139,0)))</f>
        <v/>
      </c>
      <c r="O106" s="80" t="str">
        <f>IF($D106="","",INDEX('Start List'!L$15:L$139,MATCH($D106,'Start List'!$C$15:$C$139,0)))</f>
        <v/>
      </c>
      <c r="P106" s="80" t="str">
        <f>IF($D106="","",INDEX('Start List'!M$15:M$139,MATCH($D106,'Start List'!$C$15:$C$139,0)))</f>
        <v/>
      </c>
      <c r="Q106" s="80" t="str">
        <f>IF($D106="","",INDEX('Start List'!N$15:N$139,MATCH($D106,'Start List'!$C$15:$C$139,0)))</f>
        <v/>
      </c>
      <c r="R106" s="80" t="str">
        <f>IF($D106="","",INDEX('Start List'!O$15:O$139,MATCH($D106,'Start List'!$C$15:$C$139,0)))</f>
        <v/>
      </c>
      <c r="S106" s="80" t="str">
        <f>IF($D106="","",INDEX('Start List'!P$15:P$139,MATCH($D106,'Start List'!$C$15:$C$139,0)))</f>
        <v/>
      </c>
      <c r="T106" s="80" t="str">
        <f>IF($D106="","",INDEX('Start List'!Q$15:Q$139,MATCH($D106,'Start List'!$C$15:$C$139,0)))</f>
        <v/>
      </c>
      <c r="U106" s="80" t="str">
        <f>IF($D106="","",INDEX('Start List'!R$15:R$139,MATCH($D106,'Start List'!$C$15:$C$139,0)))</f>
        <v/>
      </c>
      <c r="V106" s="80" t="str">
        <f>IF($D106="","",INDEX('Start List'!S$15:S$139,MATCH($D106,'Start List'!$C$15:$C$139,0)))</f>
        <v/>
      </c>
      <c r="W106" s="80" t="str">
        <f>IF($D106="","",INDEX('Start List'!T$15:T$139,MATCH($D106,'Start List'!$C$15:$C$139,0)))</f>
        <v/>
      </c>
      <c r="X106" s="80" t="str">
        <f>IF($D106="","",INDEX('Start List'!U$15:U$139,MATCH($D106,'Start List'!$C$15:$C$139,0)))</f>
        <v/>
      </c>
      <c r="Y106" s="80" t="str">
        <f>IF($D106="","",INDEX('Start List'!V$15:V$139,MATCH($D106,'Start List'!$C$15:$C$139,0)))</f>
        <v/>
      </c>
      <c r="Z106" s="80" t="str">
        <f>IF($D106="","",INDEX('Start List'!W$15:W$139,MATCH($D106,'Start List'!$C$15:$C$139,0)))</f>
        <v/>
      </c>
      <c r="AA106" s="80" t="str">
        <f>IF($D106="","",INDEX('Start List'!X$15:X$139,MATCH($D106,'Start List'!$C$15:$C$139,0)))</f>
        <v/>
      </c>
      <c r="AB106" s="80" t="str">
        <f>IF($D106="","",INDEX('Start List'!Y$15:Y$139,MATCH($D106,'Start List'!$C$15:$C$139,0)))</f>
        <v/>
      </c>
    </row>
    <row r="107" spans="1:28" ht="12.75" x14ac:dyDescent="0.2">
      <c r="A107" s="59" t="str">
        <f>IF(OR(COUNT('Start List'!A:A)+2='Men-Women'!A106,A106=""),"",'Men-Women'!A106+1)</f>
        <v/>
      </c>
      <c r="B107" s="228" t="str">
        <f>IF(A107="","",IF(COUNTIF($B$9:B106,$B$9)-1=COUNTIF('Start List'!C:C,"&gt;999"),'Start List'!$J$10,'Start List'!$J$9))</f>
        <v/>
      </c>
      <c r="C107" s="75" t="str">
        <f>IF(OR(B107="",COUNTIF($B$9:B107,B107)=1),"",COUNTIF($B$9:B107,B107)-1)</f>
        <v/>
      </c>
      <c r="D107" s="227" t="str">
        <f>IF(""=C107,"",IF(COUNTIF($D$9:D106,"")=2,LARGE('Start List'!C:C,A105),LARGE('Start List'!C:C,A106)))</f>
        <v/>
      </c>
      <c r="E107" s="79" t="str">
        <f>IF(C107="","",VLOOKUP(B107,Data!$AK$2:$AN$7,4,FALSE)&amp;C107)</f>
        <v/>
      </c>
      <c r="F107" s="80" t="str">
        <f>IF(COUNTIF(Data!$D$2:$D$97,'Men-Women'!$E107)=0,"",VLOOKUP('Men-Women'!$E107,Data!$D$2:$H$97,'Men-Women'!F$8,FALSE))</f>
        <v/>
      </c>
      <c r="G107" s="80" t="str">
        <f>IF(COUNTIF(Data!$D$2:$D$97,'Men-Women'!$E107)=0,"",VLOOKUP('Men-Women'!$E107,Data!$D$2:$H$97,'Men-Women'!G$8,FALSE))</f>
        <v/>
      </c>
      <c r="H107" s="80" t="str">
        <f>IF(COUNTIF(Data!$D$2:$D$97,'Men-Women'!$E107)=0,"",VLOOKUP('Men-Women'!$E107,Data!$D$2:$H$97,'Men-Women'!H$8,FALSE))</f>
        <v/>
      </c>
      <c r="I107" s="80" t="str">
        <f>IF(COUNTIF(Data!$D$2:$D$97,'Men-Women'!$E107)=0,"",VLOOKUP('Men-Women'!$E107,Data!$D$2:$H$97,'Men-Women'!I$8,FALSE))</f>
        <v/>
      </c>
      <c r="J107" s="77" t="str">
        <f>IF(B107&lt;&gt;B106,B107,IF($D107="","",INDEX('Start List'!$D$15:$D$139,MATCH($D107,'Start List'!$C$15:$C$139,0))))</f>
        <v/>
      </c>
      <c r="K107" s="77" t="str">
        <f>IF($D107="","",INDEX('Start List'!$E$15:$E$139,MATCH($D107,'Start List'!$C$15:$C$139,0)))</f>
        <v/>
      </c>
      <c r="L107" s="77" t="str">
        <f>IF($D107="","",INDEX('Start List'!$H$15:$H$139,MATCH($D107,'Start List'!$C$15:$C$139,0)))</f>
        <v/>
      </c>
      <c r="M107" s="79" t="str">
        <f>IF($D107="","",INDEX('Start List'!$F$15:$F$139,MATCH($D107,'Start List'!$C$15:$C$139,0)))</f>
        <v/>
      </c>
      <c r="N107" s="80" t="str">
        <f>IF($D107="","",INDEX('Start List'!K$15:K$139,MATCH($D107,'Start List'!$C$15:$C$139,0)))</f>
        <v/>
      </c>
      <c r="O107" s="80" t="str">
        <f>IF($D107="","",INDEX('Start List'!L$15:L$139,MATCH($D107,'Start List'!$C$15:$C$139,0)))</f>
        <v/>
      </c>
      <c r="P107" s="80" t="str">
        <f>IF($D107="","",INDEX('Start List'!M$15:M$139,MATCH($D107,'Start List'!$C$15:$C$139,0)))</f>
        <v/>
      </c>
      <c r="Q107" s="80" t="str">
        <f>IF($D107="","",INDEX('Start List'!N$15:N$139,MATCH($D107,'Start List'!$C$15:$C$139,0)))</f>
        <v/>
      </c>
      <c r="R107" s="80" t="str">
        <f>IF($D107="","",INDEX('Start List'!O$15:O$139,MATCH($D107,'Start List'!$C$15:$C$139,0)))</f>
        <v/>
      </c>
      <c r="S107" s="80" t="str">
        <f>IF($D107="","",INDEX('Start List'!P$15:P$139,MATCH($D107,'Start List'!$C$15:$C$139,0)))</f>
        <v/>
      </c>
      <c r="T107" s="80" t="str">
        <f>IF($D107="","",INDEX('Start List'!Q$15:Q$139,MATCH($D107,'Start List'!$C$15:$C$139,0)))</f>
        <v/>
      </c>
      <c r="U107" s="80" t="str">
        <f>IF($D107="","",INDEX('Start List'!R$15:R$139,MATCH($D107,'Start List'!$C$15:$C$139,0)))</f>
        <v/>
      </c>
      <c r="V107" s="80" t="str">
        <f>IF($D107="","",INDEX('Start List'!S$15:S$139,MATCH($D107,'Start List'!$C$15:$C$139,0)))</f>
        <v/>
      </c>
      <c r="W107" s="80" t="str">
        <f>IF($D107="","",INDEX('Start List'!T$15:T$139,MATCH($D107,'Start List'!$C$15:$C$139,0)))</f>
        <v/>
      </c>
      <c r="X107" s="80" t="str">
        <f>IF($D107="","",INDEX('Start List'!U$15:U$139,MATCH($D107,'Start List'!$C$15:$C$139,0)))</f>
        <v/>
      </c>
      <c r="Y107" s="80" t="str">
        <f>IF($D107="","",INDEX('Start List'!V$15:V$139,MATCH($D107,'Start List'!$C$15:$C$139,0)))</f>
        <v/>
      </c>
      <c r="Z107" s="80" t="str">
        <f>IF($D107="","",INDEX('Start List'!W$15:W$139,MATCH($D107,'Start List'!$C$15:$C$139,0)))</f>
        <v/>
      </c>
      <c r="AA107" s="80" t="str">
        <f>IF($D107="","",INDEX('Start List'!X$15:X$139,MATCH($D107,'Start List'!$C$15:$C$139,0)))</f>
        <v/>
      </c>
      <c r="AB107" s="80" t="str">
        <f>IF($D107="","",INDEX('Start List'!Y$15:Y$139,MATCH($D107,'Start List'!$C$15:$C$139,0)))</f>
        <v/>
      </c>
    </row>
    <row r="108" spans="1:28" ht="12.75" x14ac:dyDescent="0.2">
      <c r="A108" s="59" t="str">
        <f>IF(OR(COUNT('Start List'!A:A)+2='Men-Women'!A107,A107=""),"",'Men-Women'!A107+1)</f>
        <v/>
      </c>
      <c r="B108" s="228" t="str">
        <f>IF(A108="","",IF(COUNTIF($B$9:B107,$B$9)-1=COUNTIF('Start List'!C:C,"&gt;999"),'Start List'!$J$10,'Start List'!$J$9))</f>
        <v/>
      </c>
      <c r="C108" s="75" t="str">
        <f>IF(OR(B108="",COUNTIF($B$9:B108,B108)=1),"",COUNTIF($B$9:B108,B108)-1)</f>
        <v/>
      </c>
      <c r="D108" s="227" t="str">
        <f>IF(""=C108,"",IF(COUNTIF($D$9:D107,"")=2,LARGE('Start List'!C:C,A106),LARGE('Start List'!C:C,A107)))</f>
        <v/>
      </c>
      <c r="E108" s="79" t="str">
        <f>IF(C108="","",VLOOKUP(B108,Data!$AK$2:$AN$7,4,FALSE)&amp;C108)</f>
        <v/>
      </c>
      <c r="F108" s="80" t="str">
        <f>IF(COUNTIF(Data!$D$2:$D$97,'Men-Women'!$E108)=0,"",VLOOKUP('Men-Women'!$E108,Data!$D$2:$H$97,'Men-Women'!F$8,FALSE))</f>
        <v/>
      </c>
      <c r="G108" s="80" t="str">
        <f>IF(COUNTIF(Data!$D$2:$D$97,'Men-Women'!$E108)=0,"",VLOOKUP('Men-Women'!$E108,Data!$D$2:$H$97,'Men-Women'!G$8,FALSE))</f>
        <v/>
      </c>
      <c r="H108" s="80" t="str">
        <f>IF(COUNTIF(Data!$D$2:$D$97,'Men-Women'!$E108)=0,"",VLOOKUP('Men-Women'!$E108,Data!$D$2:$H$97,'Men-Women'!H$8,FALSE))</f>
        <v/>
      </c>
      <c r="I108" s="80" t="str">
        <f>IF(COUNTIF(Data!$D$2:$D$97,'Men-Women'!$E108)=0,"",VLOOKUP('Men-Women'!$E108,Data!$D$2:$H$97,'Men-Women'!I$8,FALSE))</f>
        <v/>
      </c>
      <c r="J108" s="77" t="str">
        <f>IF(B108&lt;&gt;B107,B108,IF($D108="","",INDEX('Start List'!$D$15:$D$139,MATCH($D108,'Start List'!$C$15:$C$139,0))))</f>
        <v/>
      </c>
      <c r="K108" s="77" t="str">
        <f>IF($D108="","",INDEX('Start List'!$E$15:$E$139,MATCH($D108,'Start List'!$C$15:$C$139,0)))</f>
        <v/>
      </c>
      <c r="L108" s="77" t="str">
        <f>IF($D108="","",INDEX('Start List'!$H$15:$H$139,MATCH($D108,'Start List'!$C$15:$C$139,0)))</f>
        <v/>
      </c>
      <c r="M108" s="79" t="str">
        <f>IF($D108="","",INDEX('Start List'!$F$15:$F$139,MATCH($D108,'Start List'!$C$15:$C$139,0)))</f>
        <v/>
      </c>
      <c r="N108" s="80" t="str">
        <f>IF($D108="","",INDEX('Start List'!K$15:K$139,MATCH($D108,'Start List'!$C$15:$C$139,0)))</f>
        <v/>
      </c>
      <c r="O108" s="80" t="str">
        <f>IF($D108="","",INDEX('Start List'!L$15:L$139,MATCH($D108,'Start List'!$C$15:$C$139,0)))</f>
        <v/>
      </c>
      <c r="P108" s="80" t="str">
        <f>IF($D108="","",INDEX('Start List'!M$15:M$139,MATCH($D108,'Start List'!$C$15:$C$139,0)))</f>
        <v/>
      </c>
      <c r="Q108" s="80" t="str">
        <f>IF($D108="","",INDEX('Start List'!N$15:N$139,MATCH($D108,'Start List'!$C$15:$C$139,0)))</f>
        <v/>
      </c>
      <c r="R108" s="80" t="str">
        <f>IF($D108="","",INDEX('Start List'!O$15:O$139,MATCH($D108,'Start List'!$C$15:$C$139,0)))</f>
        <v/>
      </c>
      <c r="S108" s="80" t="str">
        <f>IF($D108="","",INDEX('Start List'!P$15:P$139,MATCH($D108,'Start List'!$C$15:$C$139,0)))</f>
        <v/>
      </c>
      <c r="T108" s="80" t="str">
        <f>IF($D108="","",INDEX('Start List'!Q$15:Q$139,MATCH($D108,'Start List'!$C$15:$C$139,0)))</f>
        <v/>
      </c>
      <c r="U108" s="80" t="str">
        <f>IF($D108="","",INDEX('Start List'!R$15:R$139,MATCH($D108,'Start List'!$C$15:$C$139,0)))</f>
        <v/>
      </c>
      <c r="V108" s="80" t="str">
        <f>IF($D108="","",INDEX('Start List'!S$15:S$139,MATCH($D108,'Start List'!$C$15:$C$139,0)))</f>
        <v/>
      </c>
      <c r="W108" s="80" t="str">
        <f>IF($D108="","",INDEX('Start List'!T$15:T$139,MATCH($D108,'Start List'!$C$15:$C$139,0)))</f>
        <v/>
      </c>
      <c r="X108" s="80" t="str">
        <f>IF($D108="","",INDEX('Start List'!U$15:U$139,MATCH($D108,'Start List'!$C$15:$C$139,0)))</f>
        <v/>
      </c>
      <c r="Y108" s="80" t="str">
        <f>IF($D108="","",INDEX('Start List'!V$15:V$139,MATCH($D108,'Start List'!$C$15:$C$139,0)))</f>
        <v/>
      </c>
      <c r="Z108" s="80" t="str">
        <f>IF($D108="","",INDEX('Start List'!W$15:W$139,MATCH($D108,'Start List'!$C$15:$C$139,0)))</f>
        <v/>
      </c>
      <c r="AA108" s="80" t="str">
        <f>IF($D108="","",INDEX('Start List'!X$15:X$139,MATCH($D108,'Start List'!$C$15:$C$139,0)))</f>
        <v/>
      </c>
      <c r="AB108" s="80" t="str">
        <f>IF($D108="","",INDEX('Start List'!Y$15:Y$139,MATCH($D108,'Start List'!$C$15:$C$139,0)))</f>
        <v/>
      </c>
    </row>
    <row r="109" spans="1:28" ht="12.75" x14ac:dyDescent="0.2">
      <c r="A109" s="59" t="str">
        <f>IF(OR(COUNT('Start List'!A:A)+2='Men-Women'!A108,A108=""),"",'Men-Women'!A108+1)</f>
        <v/>
      </c>
      <c r="B109" s="228" t="str">
        <f>IF(A109="","",IF(COUNTIF($B$9:B108,$B$9)-1=COUNTIF('Start List'!C:C,"&gt;999"),'Start List'!$J$10,'Start List'!$J$9))</f>
        <v/>
      </c>
      <c r="C109" s="75" t="str">
        <f>IF(OR(B109="",COUNTIF($B$9:B109,B109)=1),"",COUNTIF($B$9:B109,B109)-1)</f>
        <v/>
      </c>
      <c r="D109" s="227" t="str">
        <f>IF(""=C109,"",IF(COUNTIF($D$9:D108,"")=2,LARGE('Start List'!C:C,A107),LARGE('Start List'!C:C,A108)))</f>
        <v/>
      </c>
      <c r="E109" s="79" t="str">
        <f>IF(C109="","",VLOOKUP(B109,Data!$AK$2:$AN$7,4,FALSE)&amp;C109)</f>
        <v/>
      </c>
      <c r="F109" s="80" t="str">
        <f>IF(COUNTIF(Data!$D$2:$D$97,'Men-Women'!$E109)=0,"",VLOOKUP('Men-Women'!$E109,Data!$D$2:$H$97,'Men-Women'!F$8,FALSE))</f>
        <v/>
      </c>
      <c r="G109" s="80" t="str">
        <f>IF(COUNTIF(Data!$D$2:$D$97,'Men-Women'!$E109)=0,"",VLOOKUP('Men-Women'!$E109,Data!$D$2:$H$97,'Men-Women'!G$8,FALSE))</f>
        <v/>
      </c>
      <c r="H109" s="80" t="str">
        <f>IF(COUNTIF(Data!$D$2:$D$97,'Men-Women'!$E109)=0,"",VLOOKUP('Men-Women'!$E109,Data!$D$2:$H$97,'Men-Women'!H$8,FALSE))</f>
        <v/>
      </c>
      <c r="I109" s="80" t="str">
        <f>IF(COUNTIF(Data!$D$2:$D$97,'Men-Women'!$E109)=0,"",VLOOKUP('Men-Women'!$E109,Data!$D$2:$H$97,'Men-Women'!I$8,FALSE))</f>
        <v/>
      </c>
      <c r="J109" s="77" t="str">
        <f>IF(B109&lt;&gt;B108,B109,IF($D109="","",INDEX('Start List'!$D$15:$D$139,MATCH($D109,'Start List'!$C$15:$C$139,0))))</f>
        <v/>
      </c>
      <c r="K109" s="77" t="str">
        <f>IF($D109="","",INDEX('Start List'!$E$15:$E$139,MATCH($D109,'Start List'!$C$15:$C$139,0)))</f>
        <v/>
      </c>
      <c r="L109" s="77" t="str">
        <f>IF($D109="","",INDEX('Start List'!$H$15:$H$139,MATCH($D109,'Start List'!$C$15:$C$139,0)))</f>
        <v/>
      </c>
      <c r="M109" s="79" t="str">
        <f>IF($D109="","",INDEX('Start List'!$F$15:$F$139,MATCH($D109,'Start List'!$C$15:$C$139,0)))</f>
        <v/>
      </c>
      <c r="N109" s="80" t="str">
        <f>IF($D109="","",INDEX('Start List'!K$15:K$139,MATCH($D109,'Start List'!$C$15:$C$139,0)))</f>
        <v/>
      </c>
      <c r="O109" s="80" t="str">
        <f>IF($D109="","",INDEX('Start List'!L$15:L$139,MATCH($D109,'Start List'!$C$15:$C$139,0)))</f>
        <v/>
      </c>
      <c r="P109" s="80" t="str">
        <f>IF($D109="","",INDEX('Start List'!M$15:M$139,MATCH($D109,'Start List'!$C$15:$C$139,0)))</f>
        <v/>
      </c>
      <c r="Q109" s="80" t="str">
        <f>IF($D109="","",INDEX('Start List'!N$15:N$139,MATCH($D109,'Start List'!$C$15:$C$139,0)))</f>
        <v/>
      </c>
      <c r="R109" s="80" t="str">
        <f>IF($D109="","",INDEX('Start List'!O$15:O$139,MATCH($D109,'Start List'!$C$15:$C$139,0)))</f>
        <v/>
      </c>
      <c r="S109" s="80" t="str">
        <f>IF($D109="","",INDEX('Start List'!P$15:P$139,MATCH($D109,'Start List'!$C$15:$C$139,0)))</f>
        <v/>
      </c>
      <c r="T109" s="80" t="str">
        <f>IF($D109="","",INDEX('Start List'!Q$15:Q$139,MATCH($D109,'Start List'!$C$15:$C$139,0)))</f>
        <v/>
      </c>
      <c r="U109" s="80" t="str">
        <f>IF($D109="","",INDEX('Start List'!R$15:R$139,MATCH($D109,'Start List'!$C$15:$C$139,0)))</f>
        <v/>
      </c>
      <c r="V109" s="80" t="str">
        <f>IF($D109="","",INDEX('Start List'!S$15:S$139,MATCH($D109,'Start List'!$C$15:$C$139,0)))</f>
        <v/>
      </c>
      <c r="W109" s="80" t="str">
        <f>IF($D109="","",INDEX('Start List'!T$15:T$139,MATCH($D109,'Start List'!$C$15:$C$139,0)))</f>
        <v/>
      </c>
      <c r="X109" s="80" t="str">
        <f>IF($D109="","",INDEX('Start List'!U$15:U$139,MATCH($D109,'Start List'!$C$15:$C$139,0)))</f>
        <v/>
      </c>
      <c r="Y109" s="80" t="str">
        <f>IF($D109="","",INDEX('Start List'!V$15:V$139,MATCH($D109,'Start List'!$C$15:$C$139,0)))</f>
        <v/>
      </c>
      <c r="Z109" s="80" t="str">
        <f>IF($D109="","",INDEX('Start List'!W$15:W$139,MATCH($D109,'Start List'!$C$15:$C$139,0)))</f>
        <v/>
      </c>
      <c r="AA109" s="80" t="str">
        <f>IF($D109="","",INDEX('Start List'!X$15:X$139,MATCH($D109,'Start List'!$C$15:$C$139,0)))</f>
        <v/>
      </c>
      <c r="AB109" s="80" t="str">
        <f>IF($D109="","",INDEX('Start List'!Y$15:Y$139,MATCH($D109,'Start List'!$C$15:$C$139,0)))</f>
        <v/>
      </c>
    </row>
    <row r="110" spans="1:28" ht="12.75" x14ac:dyDescent="0.2">
      <c r="A110" s="59" t="str">
        <f>IF(OR(COUNT('Start List'!A:A)+2='Men-Women'!A109,A109=""),"",'Men-Women'!A109+1)</f>
        <v/>
      </c>
      <c r="B110" s="228" t="str">
        <f>IF(A110="","",IF(COUNTIF($B$9:B109,$B$9)-1=COUNTIF('Start List'!C:C,"&gt;999"),'Start List'!$J$10,'Start List'!$J$9))</f>
        <v/>
      </c>
      <c r="C110" s="75" t="str">
        <f>IF(OR(B110="",COUNTIF($B$9:B110,B110)=1),"",COUNTIF($B$9:B110,B110)-1)</f>
        <v/>
      </c>
      <c r="D110" s="227" t="str">
        <f>IF(""=C110,"",IF(COUNTIF($D$9:D109,"")=2,LARGE('Start List'!C:C,A108),LARGE('Start List'!C:C,A109)))</f>
        <v/>
      </c>
      <c r="E110" s="79" t="str">
        <f>IF(C110="","",VLOOKUP(B110,Data!$AK$2:$AN$7,4,FALSE)&amp;C110)</f>
        <v/>
      </c>
      <c r="F110" s="80" t="str">
        <f>IF(COUNTIF(Data!$D$2:$D$97,'Men-Women'!$E110)=0,"",VLOOKUP('Men-Women'!$E110,Data!$D$2:$H$97,'Men-Women'!F$8,FALSE))</f>
        <v/>
      </c>
      <c r="G110" s="80" t="str">
        <f>IF(COUNTIF(Data!$D$2:$D$97,'Men-Women'!$E110)=0,"",VLOOKUP('Men-Women'!$E110,Data!$D$2:$H$97,'Men-Women'!G$8,FALSE))</f>
        <v/>
      </c>
      <c r="H110" s="80" t="str">
        <f>IF(COUNTIF(Data!$D$2:$D$97,'Men-Women'!$E110)=0,"",VLOOKUP('Men-Women'!$E110,Data!$D$2:$H$97,'Men-Women'!H$8,FALSE))</f>
        <v/>
      </c>
      <c r="I110" s="80" t="str">
        <f>IF(COUNTIF(Data!$D$2:$D$97,'Men-Women'!$E110)=0,"",VLOOKUP('Men-Women'!$E110,Data!$D$2:$H$97,'Men-Women'!I$8,FALSE))</f>
        <v/>
      </c>
      <c r="J110" s="77" t="str">
        <f>IF(B110&lt;&gt;B109,B110,IF($D110="","",INDEX('Start List'!$D$15:$D$139,MATCH($D110,'Start List'!$C$15:$C$139,0))))</f>
        <v/>
      </c>
      <c r="K110" s="77" t="str">
        <f>IF($D110="","",INDEX('Start List'!$E$15:$E$139,MATCH($D110,'Start List'!$C$15:$C$139,0)))</f>
        <v/>
      </c>
      <c r="L110" s="77" t="str">
        <f>IF($D110="","",INDEX('Start List'!$H$15:$H$139,MATCH($D110,'Start List'!$C$15:$C$139,0)))</f>
        <v/>
      </c>
      <c r="M110" s="79" t="str">
        <f>IF($D110="","",INDEX('Start List'!$F$15:$F$139,MATCH($D110,'Start List'!$C$15:$C$139,0)))</f>
        <v/>
      </c>
      <c r="N110" s="80" t="str">
        <f>IF($D110="","",INDEX('Start List'!K$15:K$139,MATCH($D110,'Start List'!$C$15:$C$139,0)))</f>
        <v/>
      </c>
      <c r="O110" s="80" t="str">
        <f>IF($D110="","",INDEX('Start List'!L$15:L$139,MATCH($D110,'Start List'!$C$15:$C$139,0)))</f>
        <v/>
      </c>
      <c r="P110" s="80" t="str">
        <f>IF($D110="","",INDEX('Start List'!M$15:M$139,MATCH($D110,'Start List'!$C$15:$C$139,0)))</f>
        <v/>
      </c>
      <c r="Q110" s="80" t="str">
        <f>IF($D110="","",INDEX('Start List'!N$15:N$139,MATCH($D110,'Start List'!$C$15:$C$139,0)))</f>
        <v/>
      </c>
      <c r="R110" s="80" t="str">
        <f>IF($D110="","",INDEX('Start List'!O$15:O$139,MATCH($D110,'Start List'!$C$15:$C$139,0)))</f>
        <v/>
      </c>
      <c r="S110" s="80" t="str">
        <f>IF($D110="","",INDEX('Start List'!P$15:P$139,MATCH($D110,'Start List'!$C$15:$C$139,0)))</f>
        <v/>
      </c>
      <c r="T110" s="80" t="str">
        <f>IF($D110="","",INDEX('Start List'!Q$15:Q$139,MATCH($D110,'Start List'!$C$15:$C$139,0)))</f>
        <v/>
      </c>
      <c r="U110" s="80" t="str">
        <f>IF($D110="","",INDEX('Start List'!R$15:R$139,MATCH($D110,'Start List'!$C$15:$C$139,0)))</f>
        <v/>
      </c>
      <c r="V110" s="80" t="str">
        <f>IF($D110="","",INDEX('Start List'!S$15:S$139,MATCH($D110,'Start List'!$C$15:$C$139,0)))</f>
        <v/>
      </c>
      <c r="W110" s="80" t="str">
        <f>IF($D110="","",INDEX('Start List'!T$15:T$139,MATCH($D110,'Start List'!$C$15:$C$139,0)))</f>
        <v/>
      </c>
      <c r="X110" s="80" t="str">
        <f>IF($D110="","",INDEX('Start List'!U$15:U$139,MATCH($D110,'Start List'!$C$15:$C$139,0)))</f>
        <v/>
      </c>
      <c r="Y110" s="80" t="str">
        <f>IF($D110="","",INDEX('Start List'!V$15:V$139,MATCH($D110,'Start List'!$C$15:$C$139,0)))</f>
        <v/>
      </c>
      <c r="Z110" s="80" t="str">
        <f>IF($D110="","",INDEX('Start List'!W$15:W$139,MATCH($D110,'Start List'!$C$15:$C$139,0)))</f>
        <v/>
      </c>
      <c r="AA110" s="80" t="str">
        <f>IF($D110="","",INDEX('Start List'!X$15:X$139,MATCH($D110,'Start List'!$C$15:$C$139,0)))</f>
        <v/>
      </c>
      <c r="AB110" s="80" t="str">
        <f>IF($D110="","",INDEX('Start List'!Y$15:Y$139,MATCH($D110,'Start List'!$C$15:$C$139,0)))</f>
        <v/>
      </c>
    </row>
    <row r="111" spans="1:28" ht="12.75" x14ac:dyDescent="0.2">
      <c r="A111" s="59" t="str">
        <f>IF(OR(COUNT('Start List'!A:A)+2='Men-Women'!A110,A110=""),"",'Men-Women'!A110+1)</f>
        <v/>
      </c>
      <c r="B111" s="228" t="str">
        <f>IF(A111="","",IF(COUNTIF($B$9:B110,$B$9)-1=COUNTIF('Start List'!C:C,"&gt;999"),'Start List'!$J$10,'Start List'!$J$9))</f>
        <v/>
      </c>
      <c r="C111" s="75" t="str">
        <f>IF(OR(B111="",COUNTIF($B$9:B111,B111)=1),"",COUNTIF($B$9:B111,B111)-1)</f>
        <v/>
      </c>
      <c r="D111" s="227" t="str">
        <f>IF(""=C111,"",IF(COUNTIF($D$9:D110,"")=2,LARGE('Start List'!C:C,A109),LARGE('Start List'!C:C,A110)))</f>
        <v/>
      </c>
      <c r="E111" s="79" t="str">
        <f>IF(C111="","",VLOOKUP(B111,Data!$AK$2:$AN$7,4,FALSE)&amp;C111)</f>
        <v/>
      </c>
      <c r="F111" s="80" t="str">
        <f>IF(COUNTIF(Data!$D$2:$D$97,'Men-Women'!$E111)=0,"",VLOOKUP('Men-Women'!$E111,Data!$D$2:$H$97,'Men-Women'!F$8,FALSE))</f>
        <v/>
      </c>
      <c r="G111" s="80" t="str">
        <f>IF(COUNTIF(Data!$D$2:$D$97,'Men-Women'!$E111)=0,"",VLOOKUP('Men-Women'!$E111,Data!$D$2:$H$97,'Men-Women'!G$8,FALSE))</f>
        <v/>
      </c>
      <c r="H111" s="80" t="str">
        <f>IF(COUNTIF(Data!$D$2:$D$97,'Men-Women'!$E111)=0,"",VLOOKUP('Men-Women'!$E111,Data!$D$2:$H$97,'Men-Women'!H$8,FALSE))</f>
        <v/>
      </c>
      <c r="I111" s="80" t="str">
        <f>IF(COUNTIF(Data!$D$2:$D$97,'Men-Women'!$E111)=0,"",VLOOKUP('Men-Women'!$E111,Data!$D$2:$H$97,'Men-Women'!I$8,FALSE))</f>
        <v/>
      </c>
      <c r="J111" s="77" t="str">
        <f>IF(B111&lt;&gt;B110,B111,IF($D111="","",INDEX('Start List'!$D$15:$D$139,MATCH($D111,'Start List'!$C$15:$C$139,0))))</f>
        <v/>
      </c>
      <c r="K111" s="77" t="str">
        <f>IF($D111="","",INDEX('Start List'!$E$15:$E$139,MATCH($D111,'Start List'!$C$15:$C$139,0)))</f>
        <v/>
      </c>
      <c r="L111" s="77" t="str">
        <f>IF($D111="","",INDEX('Start List'!$H$15:$H$139,MATCH($D111,'Start List'!$C$15:$C$139,0)))</f>
        <v/>
      </c>
      <c r="M111" s="79" t="str">
        <f>IF($D111="","",INDEX('Start List'!$F$15:$F$139,MATCH($D111,'Start List'!$C$15:$C$139,0)))</f>
        <v/>
      </c>
      <c r="N111" s="80" t="str">
        <f>IF($D111="","",INDEX('Start List'!K$15:K$139,MATCH($D111,'Start List'!$C$15:$C$139,0)))</f>
        <v/>
      </c>
      <c r="O111" s="80" t="str">
        <f>IF($D111="","",INDEX('Start List'!L$15:L$139,MATCH($D111,'Start List'!$C$15:$C$139,0)))</f>
        <v/>
      </c>
      <c r="P111" s="80" t="str">
        <f>IF($D111="","",INDEX('Start List'!M$15:M$139,MATCH($D111,'Start List'!$C$15:$C$139,0)))</f>
        <v/>
      </c>
      <c r="Q111" s="80" t="str">
        <f>IF($D111="","",INDEX('Start List'!N$15:N$139,MATCH($D111,'Start List'!$C$15:$C$139,0)))</f>
        <v/>
      </c>
      <c r="R111" s="80" t="str">
        <f>IF($D111="","",INDEX('Start List'!O$15:O$139,MATCH($D111,'Start List'!$C$15:$C$139,0)))</f>
        <v/>
      </c>
      <c r="S111" s="80" t="str">
        <f>IF($D111="","",INDEX('Start List'!P$15:P$139,MATCH($D111,'Start List'!$C$15:$C$139,0)))</f>
        <v/>
      </c>
      <c r="T111" s="80" t="str">
        <f>IF($D111="","",INDEX('Start List'!Q$15:Q$139,MATCH($D111,'Start List'!$C$15:$C$139,0)))</f>
        <v/>
      </c>
      <c r="U111" s="80" t="str">
        <f>IF($D111="","",INDEX('Start List'!R$15:R$139,MATCH($D111,'Start List'!$C$15:$C$139,0)))</f>
        <v/>
      </c>
      <c r="V111" s="80" t="str">
        <f>IF($D111="","",INDEX('Start List'!S$15:S$139,MATCH($D111,'Start List'!$C$15:$C$139,0)))</f>
        <v/>
      </c>
      <c r="W111" s="80" t="str">
        <f>IF($D111="","",INDEX('Start List'!T$15:T$139,MATCH($D111,'Start List'!$C$15:$C$139,0)))</f>
        <v/>
      </c>
      <c r="X111" s="80" t="str">
        <f>IF($D111="","",INDEX('Start List'!U$15:U$139,MATCH($D111,'Start List'!$C$15:$C$139,0)))</f>
        <v/>
      </c>
      <c r="Y111" s="80" t="str">
        <f>IF($D111="","",INDEX('Start List'!V$15:V$139,MATCH($D111,'Start List'!$C$15:$C$139,0)))</f>
        <v/>
      </c>
      <c r="Z111" s="80" t="str">
        <f>IF($D111="","",INDEX('Start List'!W$15:W$139,MATCH($D111,'Start List'!$C$15:$C$139,0)))</f>
        <v/>
      </c>
      <c r="AA111" s="80" t="str">
        <f>IF($D111="","",INDEX('Start List'!X$15:X$139,MATCH($D111,'Start List'!$C$15:$C$139,0)))</f>
        <v/>
      </c>
      <c r="AB111" s="80" t="str">
        <f>IF($D111="","",INDEX('Start List'!Y$15:Y$139,MATCH($D111,'Start List'!$C$15:$C$139,0)))</f>
        <v/>
      </c>
    </row>
    <row r="112" spans="1:28" ht="12.75" x14ac:dyDescent="0.2">
      <c r="A112" s="59" t="str">
        <f>IF(OR(COUNT('Start List'!A:A)+2='Men-Women'!A111,A111=""),"",'Men-Women'!A111+1)</f>
        <v/>
      </c>
      <c r="B112" s="228" t="str">
        <f>IF(A112="","",IF(COUNTIF($B$9:B111,$B$9)-1=COUNTIF('Start List'!C:C,"&gt;999"),'Start List'!$J$10,'Start List'!$J$9))</f>
        <v/>
      </c>
      <c r="C112" s="75" t="str">
        <f>IF(OR(B112="",COUNTIF($B$9:B112,B112)=1),"",COUNTIF($B$9:B112,B112)-1)</f>
        <v/>
      </c>
      <c r="D112" s="227" t="str">
        <f>IF(""=C112,"",IF(COUNTIF($D$9:D111,"")=2,LARGE('Start List'!C:C,A110),LARGE('Start List'!C:C,A111)))</f>
        <v/>
      </c>
      <c r="E112" s="79" t="str">
        <f>IF(C112="","",VLOOKUP(B112,Data!$AK$2:$AN$7,4,FALSE)&amp;C112)</f>
        <v/>
      </c>
      <c r="F112" s="80" t="str">
        <f>IF(COUNTIF(Data!$D$2:$D$97,'Men-Women'!$E112)=0,"",VLOOKUP('Men-Women'!$E112,Data!$D$2:$H$97,'Men-Women'!F$8,FALSE))</f>
        <v/>
      </c>
      <c r="G112" s="80" t="str">
        <f>IF(COUNTIF(Data!$D$2:$D$97,'Men-Women'!$E112)=0,"",VLOOKUP('Men-Women'!$E112,Data!$D$2:$H$97,'Men-Women'!G$8,FALSE))</f>
        <v/>
      </c>
      <c r="H112" s="80" t="str">
        <f>IF(COUNTIF(Data!$D$2:$D$97,'Men-Women'!$E112)=0,"",VLOOKUP('Men-Women'!$E112,Data!$D$2:$H$97,'Men-Women'!H$8,FALSE))</f>
        <v/>
      </c>
      <c r="I112" s="80" t="str">
        <f>IF(COUNTIF(Data!$D$2:$D$97,'Men-Women'!$E112)=0,"",VLOOKUP('Men-Women'!$E112,Data!$D$2:$H$97,'Men-Women'!I$8,FALSE))</f>
        <v/>
      </c>
      <c r="J112" s="77" t="str">
        <f>IF(B112&lt;&gt;B111,B112,IF($D112="","",INDEX('Start List'!$D$15:$D$139,MATCH($D112,'Start List'!$C$15:$C$139,0))))</f>
        <v/>
      </c>
      <c r="K112" s="77" t="str">
        <f>IF($D112="","",INDEX('Start List'!$E$15:$E$139,MATCH($D112,'Start List'!$C$15:$C$139,0)))</f>
        <v/>
      </c>
      <c r="L112" s="77" t="str">
        <f>IF($D112="","",INDEX('Start List'!$H$15:$H$139,MATCH($D112,'Start List'!$C$15:$C$139,0)))</f>
        <v/>
      </c>
      <c r="M112" s="79" t="str">
        <f>IF($D112="","",INDEX('Start List'!$F$15:$F$139,MATCH($D112,'Start List'!$C$15:$C$139,0)))</f>
        <v/>
      </c>
      <c r="N112" s="80" t="str">
        <f>IF($D112="","",INDEX('Start List'!K$15:K$139,MATCH($D112,'Start List'!$C$15:$C$139,0)))</f>
        <v/>
      </c>
      <c r="O112" s="80" t="str">
        <f>IF($D112="","",INDEX('Start List'!L$15:L$139,MATCH($D112,'Start List'!$C$15:$C$139,0)))</f>
        <v/>
      </c>
      <c r="P112" s="80" t="str">
        <f>IF($D112="","",INDEX('Start List'!M$15:M$139,MATCH($D112,'Start List'!$C$15:$C$139,0)))</f>
        <v/>
      </c>
      <c r="Q112" s="80" t="str">
        <f>IF($D112="","",INDEX('Start List'!N$15:N$139,MATCH($D112,'Start List'!$C$15:$C$139,0)))</f>
        <v/>
      </c>
      <c r="R112" s="80" t="str">
        <f>IF($D112="","",INDEX('Start List'!O$15:O$139,MATCH($D112,'Start List'!$C$15:$C$139,0)))</f>
        <v/>
      </c>
      <c r="S112" s="80" t="str">
        <f>IF($D112="","",INDEX('Start List'!P$15:P$139,MATCH($D112,'Start List'!$C$15:$C$139,0)))</f>
        <v/>
      </c>
      <c r="T112" s="80" t="str">
        <f>IF($D112="","",INDEX('Start List'!Q$15:Q$139,MATCH($D112,'Start List'!$C$15:$C$139,0)))</f>
        <v/>
      </c>
      <c r="U112" s="80" t="str">
        <f>IF($D112="","",INDEX('Start List'!R$15:R$139,MATCH($D112,'Start List'!$C$15:$C$139,0)))</f>
        <v/>
      </c>
      <c r="V112" s="80" t="str">
        <f>IF($D112="","",INDEX('Start List'!S$15:S$139,MATCH($D112,'Start List'!$C$15:$C$139,0)))</f>
        <v/>
      </c>
      <c r="W112" s="80" t="str">
        <f>IF($D112="","",INDEX('Start List'!T$15:T$139,MATCH($D112,'Start List'!$C$15:$C$139,0)))</f>
        <v/>
      </c>
      <c r="X112" s="80" t="str">
        <f>IF($D112="","",INDEX('Start List'!U$15:U$139,MATCH($D112,'Start List'!$C$15:$C$139,0)))</f>
        <v/>
      </c>
      <c r="Y112" s="80" t="str">
        <f>IF($D112="","",INDEX('Start List'!V$15:V$139,MATCH($D112,'Start List'!$C$15:$C$139,0)))</f>
        <v/>
      </c>
      <c r="Z112" s="80" t="str">
        <f>IF($D112="","",INDEX('Start List'!W$15:W$139,MATCH($D112,'Start List'!$C$15:$C$139,0)))</f>
        <v/>
      </c>
      <c r="AA112" s="80" t="str">
        <f>IF($D112="","",INDEX('Start List'!X$15:X$139,MATCH($D112,'Start List'!$C$15:$C$139,0)))</f>
        <v/>
      </c>
      <c r="AB112" s="80" t="str">
        <f>IF($D112="","",INDEX('Start List'!Y$15:Y$139,MATCH($D112,'Start List'!$C$15:$C$139,0)))</f>
        <v/>
      </c>
    </row>
    <row r="113" spans="1:28" ht="12.75" x14ac:dyDescent="0.2">
      <c r="A113" s="59" t="str">
        <f>IF(OR(COUNT('Start List'!A:A)+2='Men-Women'!A112,A112=""),"",'Men-Women'!A112+1)</f>
        <v/>
      </c>
      <c r="B113" s="228" t="str">
        <f>IF(A113="","",IF(COUNTIF($B$9:B112,$B$9)-1=COUNTIF('Start List'!C:C,"&gt;999"),'Start List'!$J$10,'Start List'!$J$9))</f>
        <v/>
      </c>
      <c r="C113" s="75" t="str">
        <f>IF(OR(B113="",COUNTIF($B$9:B113,B113)=1),"",COUNTIF($B$9:B113,B113)-1)</f>
        <v/>
      </c>
      <c r="D113" s="227" t="str">
        <f>IF(""=C113,"",IF(COUNTIF($D$9:D112,"")=2,LARGE('Start List'!C:C,A111),LARGE('Start List'!C:C,A112)))</f>
        <v/>
      </c>
      <c r="E113" s="79" t="str">
        <f>IF(C113="","",VLOOKUP(B113,Data!$AK$2:$AN$7,4,FALSE)&amp;C113)</f>
        <v/>
      </c>
      <c r="F113" s="80" t="str">
        <f>IF(COUNTIF(Data!$D$2:$D$97,'Men-Women'!$E113)=0,"",VLOOKUP('Men-Women'!$E113,Data!$D$2:$H$97,'Men-Women'!F$8,FALSE))</f>
        <v/>
      </c>
      <c r="G113" s="80" t="str">
        <f>IF(COUNTIF(Data!$D$2:$D$97,'Men-Women'!$E113)=0,"",VLOOKUP('Men-Women'!$E113,Data!$D$2:$H$97,'Men-Women'!G$8,FALSE))</f>
        <v/>
      </c>
      <c r="H113" s="80" t="str">
        <f>IF(COUNTIF(Data!$D$2:$D$97,'Men-Women'!$E113)=0,"",VLOOKUP('Men-Women'!$E113,Data!$D$2:$H$97,'Men-Women'!H$8,FALSE))</f>
        <v/>
      </c>
      <c r="I113" s="80" t="str">
        <f>IF(COUNTIF(Data!$D$2:$D$97,'Men-Women'!$E113)=0,"",VLOOKUP('Men-Women'!$E113,Data!$D$2:$H$97,'Men-Women'!I$8,FALSE))</f>
        <v/>
      </c>
      <c r="J113" s="77" t="str">
        <f>IF(B113&lt;&gt;B112,B113,IF($D113="","",INDEX('Start List'!$D$15:$D$139,MATCH($D113,'Start List'!$C$15:$C$139,0))))</f>
        <v/>
      </c>
      <c r="K113" s="77" t="str">
        <f>IF($D113="","",INDEX('Start List'!$E$15:$E$139,MATCH($D113,'Start List'!$C$15:$C$139,0)))</f>
        <v/>
      </c>
      <c r="L113" s="77" t="str">
        <f>IF($D113="","",INDEX('Start List'!$H$15:$H$139,MATCH($D113,'Start List'!$C$15:$C$139,0)))</f>
        <v/>
      </c>
      <c r="M113" s="79" t="str">
        <f>IF($D113="","",INDEX('Start List'!$F$15:$F$139,MATCH($D113,'Start List'!$C$15:$C$139,0)))</f>
        <v/>
      </c>
      <c r="N113" s="80" t="str">
        <f>IF($D113="","",INDEX('Start List'!K$15:K$139,MATCH($D113,'Start List'!$C$15:$C$139,0)))</f>
        <v/>
      </c>
      <c r="O113" s="80" t="str">
        <f>IF($D113="","",INDEX('Start List'!L$15:L$139,MATCH($D113,'Start List'!$C$15:$C$139,0)))</f>
        <v/>
      </c>
      <c r="P113" s="80" t="str">
        <f>IF($D113="","",INDEX('Start List'!M$15:M$139,MATCH($D113,'Start List'!$C$15:$C$139,0)))</f>
        <v/>
      </c>
      <c r="Q113" s="80" t="str">
        <f>IF($D113="","",INDEX('Start List'!N$15:N$139,MATCH($D113,'Start List'!$C$15:$C$139,0)))</f>
        <v/>
      </c>
      <c r="R113" s="80" t="str">
        <f>IF($D113="","",INDEX('Start List'!O$15:O$139,MATCH($D113,'Start List'!$C$15:$C$139,0)))</f>
        <v/>
      </c>
      <c r="S113" s="80" t="str">
        <f>IF($D113="","",INDEX('Start List'!P$15:P$139,MATCH($D113,'Start List'!$C$15:$C$139,0)))</f>
        <v/>
      </c>
      <c r="T113" s="80" t="str">
        <f>IF($D113="","",INDEX('Start List'!Q$15:Q$139,MATCH($D113,'Start List'!$C$15:$C$139,0)))</f>
        <v/>
      </c>
      <c r="U113" s="80" t="str">
        <f>IF($D113="","",INDEX('Start List'!R$15:R$139,MATCH($D113,'Start List'!$C$15:$C$139,0)))</f>
        <v/>
      </c>
      <c r="V113" s="80" t="str">
        <f>IF($D113="","",INDEX('Start List'!S$15:S$139,MATCH($D113,'Start List'!$C$15:$C$139,0)))</f>
        <v/>
      </c>
      <c r="W113" s="80" t="str">
        <f>IF($D113="","",INDEX('Start List'!T$15:T$139,MATCH($D113,'Start List'!$C$15:$C$139,0)))</f>
        <v/>
      </c>
      <c r="X113" s="80" t="str">
        <f>IF($D113="","",INDEX('Start List'!U$15:U$139,MATCH($D113,'Start List'!$C$15:$C$139,0)))</f>
        <v/>
      </c>
      <c r="Y113" s="80" t="str">
        <f>IF($D113="","",INDEX('Start List'!V$15:V$139,MATCH($D113,'Start List'!$C$15:$C$139,0)))</f>
        <v/>
      </c>
      <c r="Z113" s="80" t="str">
        <f>IF($D113="","",INDEX('Start List'!W$15:W$139,MATCH($D113,'Start List'!$C$15:$C$139,0)))</f>
        <v/>
      </c>
      <c r="AA113" s="80" t="str">
        <f>IF($D113="","",INDEX('Start List'!X$15:X$139,MATCH($D113,'Start List'!$C$15:$C$139,0)))</f>
        <v/>
      </c>
      <c r="AB113" s="80" t="str">
        <f>IF($D113="","",INDEX('Start List'!Y$15:Y$139,MATCH($D113,'Start List'!$C$15:$C$139,0)))</f>
        <v/>
      </c>
    </row>
    <row r="114" spans="1:28" ht="12.75" x14ac:dyDescent="0.2">
      <c r="A114" s="59" t="str">
        <f>IF(OR(COUNT('Start List'!A:A)+2='Men-Women'!A113,A113=""),"",'Men-Women'!A113+1)</f>
        <v/>
      </c>
      <c r="B114" s="228" t="str">
        <f>IF(A114="","",IF(COUNTIF($B$9:B113,$B$9)-1=COUNTIF('Start List'!C:C,"&gt;999"),'Start List'!$J$10,'Start List'!$J$9))</f>
        <v/>
      </c>
      <c r="C114" s="75" t="str">
        <f>IF(OR(B114="",COUNTIF($B$9:B114,B114)=1),"",COUNTIF($B$9:B114,B114)-1)</f>
        <v/>
      </c>
      <c r="D114" s="227" t="str">
        <f>IF(""=C114,"",IF(COUNTIF($D$9:D113,"")=2,LARGE('Start List'!C:C,A112),LARGE('Start List'!C:C,A113)))</f>
        <v/>
      </c>
      <c r="E114" s="79" t="str">
        <f>IF(C114="","",VLOOKUP(B114,Data!$AK$2:$AN$7,4,FALSE)&amp;C114)</f>
        <v/>
      </c>
      <c r="F114" s="80" t="str">
        <f>IF(COUNTIF(Data!$D$2:$D$97,'Men-Women'!$E114)=0,"",VLOOKUP('Men-Women'!$E114,Data!$D$2:$H$97,'Men-Women'!F$8,FALSE))</f>
        <v/>
      </c>
      <c r="G114" s="80" t="str">
        <f>IF(COUNTIF(Data!$D$2:$D$97,'Men-Women'!$E114)=0,"",VLOOKUP('Men-Women'!$E114,Data!$D$2:$H$97,'Men-Women'!G$8,FALSE))</f>
        <v/>
      </c>
      <c r="H114" s="80" t="str">
        <f>IF(COUNTIF(Data!$D$2:$D$97,'Men-Women'!$E114)=0,"",VLOOKUP('Men-Women'!$E114,Data!$D$2:$H$97,'Men-Women'!H$8,FALSE))</f>
        <v/>
      </c>
      <c r="I114" s="80" t="str">
        <f>IF(COUNTIF(Data!$D$2:$D$97,'Men-Women'!$E114)=0,"",VLOOKUP('Men-Women'!$E114,Data!$D$2:$H$97,'Men-Women'!I$8,FALSE))</f>
        <v/>
      </c>
      <c r="J114" s="77" t="str">
        <f>IF(B114&lt;&gt;B113,B114,IF($D114="","",INDEX('Start List'!$D$15:$D$139,MATCH($D114,'Start List'!$C$15:$C$139,0))))</f>
        <v/>
      </c>
      <c r="K114" s="77" t="str">
        <f>IF($D114="","",INDEX('Start List'!$E$15:$E$139,MATCH($D114,'Start List'!$C$15:$C$139,0)))</f>
        <v/>
      </c>
      <c r="L114" s="77" t="str">
        <f>IF($D114="","",INDEX('Start List'!$H$15:$H$139,MATCH($D114,'Start List'!$C$15:$C$139,0)))</f>
        <v/>
      </c>
      <c r="M114" s="79" t="str">
        <f>IF($D114="","",INDEX('Start List'!$F$15:$F$139,MATCH($D114,'Start List'!$C$15:$C$139,0)))</f>
        <v/>
      </c>
      <c r="N114" s="80" t="str">
        <f>IF($D114="","",INDEX('Start List'!K$15:K$139,MATCH($D114,'Start List'!$C$15:$C$139,0)))</f>
        <v/>
      </c>
      <c r="O114" s="80" t="str">
        <f>IF($D114="","",INDEX('Start List'!L$15:L$139,MATCH($D114,'Start List'!$C$15:$C$139,0)))</f>
        <v/>
      </c>
      <c r="P114" s="80" t="str">
        <f>IF($D114="","",INDEX('Start List'!M$15:M$139,MATCH($D114,'Start List'!$C$15:$C$139,0)))</f>
        <v/>
      </c>
      <c r="Q114" s="80" t="str">
        <f>IF($D114="","",INDEX('Start List'!N$15:N$139,MATCH($D114,'Start List'!$C$15:$C$139,0)))</f>
        <v/>
      </c>
      <c r="R114" s="80" t="str">
        <f>IF($D114="","",INDEX('Start List'!O$15:O$139,MATCH($D114,'Start List'!$C$15:$C$139,0)))</f>
        <v/>
      </c>
      <c r="S114" s="80" t="str">
        <f>IF($D114="","",INDEX('Start List'!P$15:P$139,MATCH($D114,'Start List'!$C$15:$C$139,0)))</f>
        <v/>
      </c>
      <c r="T114" s="80" t="str">
        <f>IF($D114="","",INDEX('Start List'!Q$15:Q$139,MATCH($D114,'Start List'!$C$15:$C$139,0)))</f>
        <v/>
      </c>
      <c r="U114" s="80" t="str">
        <f>IF($D114="","",INDEX('Start List'!R$15:R$139,MATCH($D114,'Start List'!$C$15:$C$139,0)))</f>
        <v/>
      </c>
      <c r="V114" s="80" t="str">
        <f>IF($D114="","",INDEX('Start List'!S$15:S$139,MATCH($D114,'Start List'!$C$15:$C$139,0)))</f>
        <v/>
      </c>
      <c r="W114" s="80" t="str">
        <f>IF($D114="","",INDEX('Start List'!T$15:T$139,MATCH($D114,'Start List'!$C$15:$C$139,0)))</f>
        <v/>
      </c>
      <c r="X114" s="80" t="str">
        <f>IF($D114="","",INDEX('Start List'!U$15:U$139,MATCH($D114,'Start List'!$C$15:$C$139,0)))</f>
        <v/>
      </c>
      <c r="Y114" s="80" t="str">
        <f>IF($D114="","",INDEX('Start List'!V$15:V$139,MATCH($D114,'Start List'!$C$15:$C$139,0)))</f>
        <v/>
      </c>
      <c r="Z114" s="80" t="str">
        <f>IF($D114="","",INDEX('Start List'!W$15:W$139,MATCH($D114,'Start List'!$C$15:$C$139,0)))</f>
        <v/>
      </c>
      <c r="AA114" s="80" t="str">
        <f>IF($D114="","",INDEX('Start List'!X$15:X$139,MATCH($D114,'Start List'!$C$15:$C$139,0)))</f>
        <v/>
      </c>
      <c r="AB114" s="80" t="str">
        <f>IF($D114="","",INDEX('Start List'!Y$15:Y$139,MATCH($D114,'Start List'!$C$15:$C$139,0)))</f>
        <v/>
      </c>
    </row>
    <row r="115" spans="1:28" ht="12.75" x14ac:dyDescent="0.2">
      <c r="A115" s="59" t="str">
        <f>IF(OR(COUNT('Start List'!A:A)+2='Men-Women'!A114,A114=""),"",'Men-Women'!A114+1)</f>
        <v/>
      </c>
      <c r="B115" s="228" t="str">
        <f>IF(A115="","",IF(COUNTIF($B$9:B114,$B$9)-1=COUNTIF('Start List'!C:C,"&gt;999"),'Start List'!$J$10,'Start List'!$J$9))</f>
        <v/>
      </c>
      <c r="C115" s="75" t="str">
        <f>IF(OR(B115="",COUNTIF($B$9:B115,B115)=1),"",COUNTIF($B$9:B115,B115)-1)</f>
        <v/>
      </c>
      <c r="D115" s="227" t="str">
        <f>IF(""=C115,"",IF(COUNTIF($D$9:D114,"")=2,LARGE('Start List'!C:C,A113),LARGE('Start List'!C:C,A114)))</f>
        <v/>
      </c>
      <c r="E115" s="79" t="str">
        <f>IF(C115="","",VLOOKUP(B115,Data!$AK$2:$AN$7,4,FALSE)&amp;C115)</f>
        <v/>
      </c>
      <c r="F115" s="80" t="str">
        <f>IF(COUNTIF(Data!$D$2:$D$97,'Men-Women'!$E115)=0,"",VLOOKUP('Men-Women'!$E115,Data!$D$2:$H$97,'Men-Women'!F$8,FALSE))</f>
        <v/>
      </c>
      <c r="G115" s="80" t="str">
        <f>IF(COUNTIF(Data!$D$2:$D$97,'Men-Women'!$E115)=0,"",VLOOKUP('Men-Women'!$E115,Data!$D$2:$H$97,'Men-Women'!G$8,FALSE))</f>
        <v/>
      </c>
      <c r="H115" s="80" t="str">
        <f>IF(COUNTIF(Data!$D$2:$D$97,'Men-Women'!$E115)=0,"",VLOOKUP('Men-Women'!$E115,Data!$D$2:$H$97,'Men-Women'!H$8,FALSE))</f>
        <v/>
      </c>
      <c r="I115" s="80" t="str">
        <f>IF(COUNTIF(Data!$D$2:$D$97,'Men-Women'!$E115)=0,"",VLOOKUP('Men-Women'!$E115,Data!$D$2:$H$97,'Men-Women'!I$8,FALSE))</f>
        <v/>
      </c>
      <c r="J115" s="77" t="str">
        <f>IF(B115&lt;&gt;B114,B115,IF($D115="","",INDEX('Start List'!$D$15:$D$139,MATCH($D115,'Start List'!$C$15:$C$139,0))))</f>
        <v/>
      </c>
      <c r="K115" s="77" t="str">
        <f>IF($D115="","",INDEX('Start List'!$E$15:$E$139,MATCH($D115,'Start List'!$C$15:$C$139,0)))</f>
        <v/>
      </c>
      <c r="L115" s="77" t="str">
        <f>IF($D115="","",INDEX('Start List'!$H$15:$H$139,MATCH($D115,'Start List'!$C$15:$C$139,0)))</f>
        <v/>
      </c>
      <c r="M115" s="79" t="str">
        <f>IF($D115="","",INDEX('Start List'!$F$15:$F$139,MATCH($D115,'Start List'!$C$15:$C$139,0)))</f>
        <v/>
      </c>
      <c r="N115" s="80" t="str">
        <f>IF($D115="","",INDEX('Start List'!K$15:K$139,MATCH($D115,'Start List'!$C$15:$C$139,0)))</f>
        <v/>
      </c>
      <c r="O115" s="80" t="str">
        <f>IF($D115="","",INDEX('Start List'!L$15:L$139,MATCH($D115,'Start List'!$C$15:$C$139,0)))</f>
        <v/>
      </c>
      <c r="P115" s="80" t="str">
        <f>IF($D115="","",INDEX('Start List'!M$15:M$139,MATCH($D115,'Start List'!$C$15:$C$139,0)))</f>
        <v/>
      </c>
      <c r="Q115" s="80" t="str">
        <f>IF($D115="","",INDEX('Start List'!N$15:N$139,MATCH($D115,'Start List'!$C$15:$C$139,0)))</f>
        <v/>
      </c>
      <c r="R115" s="80" t="str">
        <f>IF($D115="","",INDEX('Start List'!O$15:O$139,MATCH($D115,'Start List'!$C$15:$C$139,0)))</f>
        <v/>
      </c>
      <c r="S115" s="80" t="str">
        <f>IF($D115="","",INDEX('Start List'!P$15:P$139,MATCH($D115,'Start List'!$C$15:$C$139,0)))</f>
        <v/>
      </c>
      <c r="T115" s="80" t="str">
        <f>IF($D115="","",INDEX('Start List'!Q$15:Q$139,MATCH($D115,'Start List'!$C$15:$C$139,0)))</f>
        <v/>
      </c>
      <c r="U115" s="80" t="str">
        <f>IF($D115="","",INDEX('Start List'!R$15:R$139,MATCH($D115,'Start List'!$C$15:$C$139,0)))</f>
        <v/>
      </c>
      <c r="V115" s="80" t="str">
        <f>IF($D115="","",INDEX('Start List'!S$15:S$139,MATCH($D115,'Start List'!$C$15:$C$139,0)))</f>
        <v/>
      </c>
      <c r="W115" s="80" t="str">
        <f>IF($D115="","",INDEX('Start List'!T$15:T$139,MATCH($D115,'Start List'!$C$15:$C$139,0)))</f>
        <v/>
      </c>
      <c r="X115" s="80" t="str">
        <f>IF($D115="","",INDEX('Start List'!U$15:U$139,MATCH($D115,'Start List'!$C$15:$C$139,0)))</f>
        <v/>
      </c>
      <c r="Y115" s="80" t="str">
        <f>IF($D115="","",INDEX('Start List'!V$15:V$139,MATCH($D115,'Start List'!$C$15:$C$139,0)))</f>
        <v/>
      </c>
      <c r="Z115" s="80" t="str">
        <f>IF($D115="","",INDEX('Start List'!W$15:W$139,MATCH($D115,'Start List'!$C$15:$C$139,0)))</f>
        <v/>
      </c>
      <c r="AA115" s="80" t="str">
        <f>IF($D115="","",INDEX('Start List'!X$15:X$139,MATCH($D115,'Start List'!$C$15:$C$139,0)))</f>
        <v/>
      </c>
      <c r="AB115" s="80" t="str">
        <f>IF($D115="","",INDEX('Start List'!Y$15:Y$139,MATCH($D115,'Start List'!$C$15:$C$139,0)))</f>
        <v/>
      </c>
    </row>
    <row r="116" spans="1:28" ht="12.75" x14ac:dyDescent="0.2">
      <c r="A116" s="59" t="str">
        <f>IF(OR(COUNT('Start List'!A:A)+2='Men-Women'!A115,A115=""),"",'Men-Women'!A115+1)</f>
        <v/>
      </c>
      <c r="B116" s="228" t="str">
        <f>IF(A116="","",IF(COUNTIF($B$9:B115,$B$9)-1=COUNTIF('Start List'!C:C,"&gt;999"),'Start List'!$J$10,'Start List'!$J$9))</f>
        <v/>
      </c>
      <c r="C116" s="75" t="str">
        <f>IF(OR(B116="",COUNTIF($B$9:B116,B116)=1),"",COUNTIF($B$9:B116,B116)-1)</f>
        <v/>
      </c>
      <c r="D116" s="227" t="str">
        <f>IF(""=C116,"",IF(COUNTIF($D$9:D115,"")=2,LARGE('Start List'!C:C,A114),LARGE('Start List'!C:C,A115)))</f>
        <v/>
      </c>
      <c r="E116" s="79" t="str">
        <f>IF(C116="","",VLOOKUP(B116,Data!$AK$2:$AN$7,4,FALSE)&amp;C116)</f>
        <v/>
      </c>
      <c r="F116" s="80" t="str">
        <f>IF(COUNTIF(Data!$D$2:$D$97,'Men-Women'!$E116)=0,"",VLOOKUP('Men-Women'!$E116,Data!$D$2:$H$97,'Men-Women'!F$8,FALSE))</f>
        <v/>
      </c>
      <c r="G116" s="80" t="str">
        <f>IF(COUNTIF(Data!$D$2:$D$97,'Men-Women'!$E116)=0,"",VLOOKUP('Men-Women'!$E116,Data!$D$2:$H$97,'Men-Women'!G$8,FALSE))</f>
        <v/>
      </c>
      <c r="H116" s="80" t="str">
        <f>IF(COUNTIF(Data!$D$2:$D$97,'Men-Women'!$E116)=0,"",VLOOKUP('Men-Women'!$E116,Data!$D$2:$H$97,'Men-Women'!H$8,FALSE))</f>
        <v/>
      </c>
      <c r="I116" s="80" t="str">
        <f>IF(COUNTIF(Data!$D$2:$D$97,'Men-Women'!$E116)=0,"",VLOOKUP('Men-Women'!$E116,Data!$D$2:$H$97,'Men-Women'!I$8,FALSE))</f>
        <v/>
      </c>
      <c r="J116" s="77" t="str">
        <f>IF(B116&lt;&gt;B115,B116,IF($D116="","",INDEX('Start List'!$D$15:$D$139,MATCH($D116,'Start List'!$C$15:$C$139,0))))</f>
        <v/>
      </c>
      <c r="K116" s="77" t="str">
        <f>IF($D116="","",INDEX('Start List'!$E$15:$E$139,MATCH($D116,'Start List'!$C$15:$C$139,0)))</f>
        <v/>
      </c>
      <c r="L116" s="77" t="str">
        <f>IF($D116="","",INDEX('Start List'!$H$15:$H$139,MATCH($D116,'Start List'!$C$15:$C$139,0)))</f>
        <v/>
      </c>
      <c r="M116" s="79" t="str">
        <f>IF($D116="","",INDEX('Start List'!$F$15:$F$139,MATCH($D116,'Start List'!$C$15:$C$139,0)))</f>
        <v/>
      </c>
      <c r="N116" s="80" t="str">
        <f>IF($D116="","",INDEX('Start List'!K$15:K$139,MATCH($D116,'Start List'!$C$15:$C$139,0)))</f>
        <v/>
      </c>
      <c r="O116" s="80" t="str">
        <f>IF($D116="","",INDEX('Start List'!L$15:L$139,MATCH($D116,'Start List'!$C$15:$C$139,0)))</f>
        <v/>
      </c>
      <c r="P116" s="80" t="str">
        <f>IF($D116="","",INDEX('Start List'!M$15:M$139,MATCH($D116,'Start List'!$C$15:$C$139,0)))</f>
        <v/>
      </c>
      <c r="Q116" s="80" t="str">
        <f>IF($D116="","",INDEX('Start List'!N$15:N$139,MATCH($D116,'Start List'!$C$15:$C$139,0)))</f>
        <v/>
      </c>
      <c r="R116" s="80" t="str">
        <f>IF($D116="","",INDEX('Start List'!O$15:O$139,MATCH($D116,'Start List'!$C$15:$C$139,0)))</f>
        <v/>
      </c>
      <c r="S116" s="80" t="str">
        <f>IF($D116="","",INDEX('Start List'!P$15:P$139,MATCH($D116,'Start List'!$C$15:$C$139,0)))</f>
        <v/>
      </c>
      <c r="T116" s="80" t="str">
        <f>IF($D116="","",INDEX('Start List'!Q$15:Q$139,MATCH($D116,'Start List'!$C$15:$C$139,0)))</f>
        <v/>
      </c>
      <c r="U116" s="80" t="str">
        <f>IF($D116="","",INDEX('Start List'!R$15:R$139,MATCH($D116,'Start List'!$C$15:$C$139,0)))</f>
        <v/>
      </c>
      <c r="V116" s="80" t="str">
        <f>IF($D116="","",INDEX('Start List'!S$15:S$139,MATCH($D116,'Start List'!$C$15:$C$139,0)))</f>
        <v/>
      </c>
      <c r="W116" s="80" t="str">
        <f>IF($D116="","",INDEX('Start List'!T$15:T$139,MATCH($D116,'Start List'!$C$15:$C$139,0)))</f>
        <v/>
      </c>
      <c r="X116" s="80" t="str">
        <f>IF($D116="","",INDEX('Start List'!U$15:U$139,MATCH($D116,'Start List'!$C$15:$C$139,0)))</f>
        <v/>
      </c>
      <c r="Y116" s="80" t="str">
        <f>IF($D116="","",INDEX('Start List'!V$15:V$139,MATCH($D116,'Start List'!$C$15:$C$139,0)))</f>
        <v/>
      </c>
      <c r="Z116" s="80" t="str">
        <f>IF($D116="","",INDEX('Start List'!W$15:W$139,MATCH($D116,'Start List'!$C$15:$C$139,0)))</f>
        <v/>
      </c>
      <c r="AA116" s="80" t="str">
        <f>IF($D116="","",INDEX('Start List'!X$15:X$139,MATCH($D116,'Start List'!$C$15:$C$139,0)))</f>
        <v/>
      </c>
      <c r="AB116" s="80" t="str">
        <f>IF($D116="","",INDEX('Start List'!Y$15:Y$139,MATCH($D116,'Start List'!$C$15:$C$139,0)))</f>
        <v/>
      </c>
    </row>
    <row r="117" spans="1:28" ht="12.75" x14ac:dyDescent="0.2">
      <c r="A117" s="59" t="str">
        <f>IF(OR(COUNT('Start List'!A:A)+2='Men-Women'!A116,A116=""),"",'Men-Women'!A116+1)</f>
        <v/>
      </c>
      <c r="B117" s="228" t="str">
        <f>IF(A117="","",IF(COUNTIF($B$9:B116,$B$9)-1=COUNTIF('Start List'!C:C,"&gt;999"),'Start List'!$J$10,'Start List'!$J$9))</f>
        <v/>
      </c>
      <c r="C117" s="75" t="str">
        <f>IF(OR(B117="",COUNTIF($B$9:B117,B117)=1),"",COUNTIF($B$9:B117,B117)-1)</f>
        <v/>
      </c>
      <c r="D117" s="227" t="str">
        <f>IF(""=C117,"",IF(COUNTIF($D$9:D116,"")=2,LARGE('Start List'!C:C,A115),LARGE('Start List'!C:C,A116)))</f>
        <v/>
      </c>
      <c r="E117" s="79" t="str">
        <f>IF(C117="","",VLOOKUP(B117,Data!$AK$2:$AN$7,4,FALSE)&amp;C117)</f>
        <v/>
      </c>
      <c r="F117" s="80" t="str">
        <f>IF(COUNTIF(Data!$D$2:$D$97,'Men-Women'!$E117)=0,"",VLOOKUP('Men-Women'!$E117,Data!$D$2:$H$97,'Men-Women'!F$8,FALSE))</f>
        <v/>
      </c>
      <c r="G117" s="80" t="str">
        <f>IF(COUNTIF(Data!$D$2:$D$97,'Men-Women'!$E117)=0,"",VLOOKUP('Men-Women'!$E117,Data!$D$2:$H$97,'Men-Women'!G$8,FALSE))</f>
        <v/>
      </c>
      <c r="H117" s="80" t="str">
        <f>IF(COUNTIF(Data!$D$2:$D$97,'Men-Women'!$E117)=0,"",VLOOKUP('Men-Women'!$E117,Data!$D$2:$H$97,'Men-Women'!H$8,FALSE))</f>
        <v/>
      </c>
      <c r="I117" s="80" t="str">
        <f>IF(COUNTIF(Data!$D$2:$D$97,'Men-Women'!$E117)=0,"",VLOOKUP('Men-Women'!$E117,Data!$D$2:$H$97,'Men-Women'!I$8,FALSE))</f>
        <v/>
      </c>
      <c r="J117" s="77" t="str">
        <f>IF(B117&lt;&gt;B116,B117,IF($D117="","",INDEX('Start List'!$D$15:$D$139,MATCH($D117,'Start List'!$C$15:$C$139,0))))</f>
        <v/>
      </c>
      <c r="K117" s="77" t="str">
        <f>IF($D117="","",INDEX('Start List'!$E$15:$E$139,MATCH($D117,'Start List'!$C$15:$C$139,0)))</f>
        <v/>
      </c>
      <c r="L117" s="77" t="str">
        <f>IF($D117="","",INDEX('Start List'!$H$15:$H$139,MATCH($D117,'Start List'!$C$15:$C$139,0)))</f>
        <v/>
      </c>
      <c r="M117" s="79" t="str">
        <f>IF($D117="","",INDEX('Start List'!$F$15:$F$139,MATCH($D117,'Start List'!$C$15:$C$139,0)))</f>
        <v/>
      </c>
      <c r="N117" s="80" t="str">
        <f>IF($D117="","",INDEX('Start List'!K$15:K$139,MATCH($D117,'Start List'!$C$15:$C$139,0)))</f>
        <v/>
      </c>
      <c r="O117" s="80" t="str">
        <f>IF($D117="","",INDEX('Start List'!L$15:L$139,MATCH($D117,'Start List'!$C$15:$C$139,0)))</f>
        <v/>
      </c>
      <c r="P117" s="80" t="str">
        <f>IF($D117="","",INDEX('Start List'!M$15:M$139,MATCH($D117,'Start List'!$C$15:$C$139,0)))</f>
        <v/>
      </c>
      <c r="Q117" s="80" t="str">
        <f>IF($D117="","",INDEX('Start List'!N$15:N$139,MATCH($D117,'Start List'!$C$15:$C$139,0)))</f>
        <v/>
      </c>
      <c r="R117" s="80" t="str">
        <f>IF($D117="","",INDEX('Start List'!O$15:O$139,MATCH($D117,'Start List'!$C$15:$C$139,0)))</f>
        <v/>
      </c>
      <c r="S117" s="80" t="str">
        <f>IF($D117="","",INDEX('Start List'!P$15:P$139,MATCH($D117,'Start List'!$C$15:$C$139,0)))</f>
        <v/>
      </c>
      <c r="T117" s="80" t="str">
        <f>IF($D117="","",INDEX('Start List'!Q$15:Q$139,MATCH($D117,'Start List'!$C$15:$C$139,0)))</f>
        <v/>
      </c>
      <c r="U117" s="80" t="str">
        <f>IF($D117="","",INDEX('Start List'!R$15:R$139,MATCH($D117,'Start List'!$C$15:$C$139,0)))</f>
        <v/>
      </c>
      <c r="V117" s="80" t="str">
        <f>IF($D117="","",INDEX('Start List'!S$15:S$139,MATCH($D117,'Start List'!$C$15:$C$139,0)))</f>
        <v/>
      </c>
      <c r="W117" s="80" t="str">
        <f>IF($D117="","",INDEX('Start List'!T$15:T$139,MATCH($D117,'Start List'!$C$15:$C$139,0)))</f>
        <v/>
      </c>
      <c r="X117" s="80" t="str">
        <f>IF($D117="","",INDEX('Start List'!U$15:U$139,MATCH($D117,'Start List'!$C$15:$C$139,0)))</f>
        <v/>
      </c>
      <c r="Y117" s="80" t="str">
        <f>IF($D117="","",INDEX('Start List'!V$15:V$139,MATCH($D117,'Start List'!$C$15:$C$139,0)))</f>
        <v/>
      </c>
      <c r="Z117" s="80" t="str">
        <f>IF($D117="","",INDEX('Start List'!W$15:W$139,MATCH($D117,'Start List'!$C$15:$C$139,0)))</f>
        <v/>
      </c>
      <c r="AA117" s="80" t="str">
        <f>IF($D117="","",INDEX('Start List'!X$15:X$139,MATCH($D117,'Start List'!$C$15:$C$139,0)))</f>
        <v/>
      </c>
      <c r="AB117" s="80" t="str">
        <f>IF($D117="","",INDEX('Start List'!Y$15:Y$139,MATCH($D117,'Start List'!$C$15:$C$139,0)))</f>
        <v/>
      </c>
    </row>
    <row r="118" spans="1:28" ht="12.75" x14ac:dyDescent="0.2">
      <c r="A118" s="59" t="str">
        <f>IF(OR(COUNT('Start List'!A:A)+2='Men-Women'!A117,A117=""),"",'Men-Women'!A117+1)</f>
        <v/>
      </c>
      <c r="B118" s="228" t="str">
        <f>IF(A118="","",IF(COUNTIF($B$9:B117,$B$9)-1=COUNTIF('Start List'!C:C,"&gt;999"),'Start List'!$J$10,'Start List'!$J$9))</f>
        <v/>
      </c>
      <c r="C118" s="75" t="str">
        <f>IF(OR(B118="",COUNTIF($B$9:B118,B118)=1),"",COUNTIF($B$9:B118,B118)-1)</f>
        <v/>
      </c>
      <c r="D118" s="227" t="str">
        <f>IF(""=C118,"",IF(COUNTIF($D$9:D117,"")=2,LARGE('Start List'!C:C,A116),LARGE('Start List'!C:C,A117)))</f>
        <v/>
      </c>
      <c r="E118" s="79" t="str">
        <f>IF(C118="","",VLOOKUP(B118,Data!$AK$2:$AN$7,4,FALSE)&amp;C118)</f>
        <v/>
      </c>
      <c r="F118" s="80" t="str">
        <f>IF(COUNTIF(Data!$D$2:$D$97,'Men-Women'!$E118)=0,"",VLOOKUP('Men-Women'!$E118,Data!$D$2:$H$97,'Men-Women'!F$8,FALSE))</f>
        <v/>
      </c>
      <c r="G118" s="80" t="str">
        <f>IF(COUNTIF(Data!$D$2:$D$97,'Men-Women'!$E118)=0,"",VLOOKUP('Men-Women'!$E118,Data!$D$2:$H$97,'Men-Women'!G$8,FALSE))</f>
        <v/>
      </c>
      <c r="H118" s="80" t="str">
        <f>IF(COUNTIF(Data!$D$2:$D$97,'Men-Women'!$E118)=0,"",VLOOKUP('Men-Women'!$E118,Data!$D$2:$H$97,'Men-Women'!H$8,FALSE))</f>
        <v/>
      </c>
      <c r="I118" s="80" t="str">
        <f>IF(COUNTIF(Data!$D$2:$D$97,'Men-Women'!$E118)=0,"",VLOOKUP('Men-Women'!$E118,Data!$D$2:$H$97,'Men-Women'!I$8,FALSE))</f>
        <v/>
      </c>
      <c r="J118" s="77" t="str">
        <f>IF(B118&lt;&gt;B117,B118,IF($D118="","",INDEX('Start List'!$D$15:$D$139,MATCH($D118,'Start List'!$C$15:$C$139,0))))</f>
        <v/>
      </c>
      <c r="K118" s="77" t="str">
        <f>IF($D118="","",INDEX('Start List'!$E$15:$E$139,MATCH($D118,'Start List'!$C$15:$C$139,0)))</f>
        <v/>
      </c>
      <c r="L118" s="77" t="str">
        <f>IF($D118="","",INDEX('Start List'!$H$15:$H$139,MATCH($D118,'Start List'!$C$15:$C$139,0)))</f>
        <v/>
      </c>
      <c r="M118" s="79" t="str">
        <f>IF($D118="","",INDEX('Start List'!$F$15:$F$139,MATCH($D118,'Start List'!$C$15:$C$139,0)))</f>
        <v/>
      </c>
      <c r="N118" s="80" t="str">
        <f>IF($D118="","",INDEX('Start List'!K$15:K$139,MATCH($D118,'Start List'!$C$15:$C$139,0)))</f>
        <v/>
      </c>
      <c r="O118" s="80" t="str">
        <f>IF($D118="","",INDEX('Start List'!L$15:L$139,MATCH($D118,'Start List'!$C$15:$C$139,0)))</f>
        <v/>
      </c>
      <c r="P118" s="80" t="str">
        <f>IF($D118="","",INDEX('Start List'!M$15:M$139,MATCH($D118,'Start List'!$C$15:$C$139,0)))</f>
        <v/>
      </c>
      <c r="Q118" s="80" t="str">
        <f>IF($D118="","",INDEX('Start List'!N$15:N$139,MATCH($D118,'Start List'!$C$15:$C$139,0)))</f>
        <v/>
      </c>
      <c r="R118" s="80" t="str">
        <f>IF($D118="","",INDEX('Start List'!O$15:O$139,MATCH($D118,'Start List'!$C$15:$C$139,0)))</f>
        <v/>
      </c>
      <c r="S118" s="80" t="str">
        <f>IF($D118="","",INDEX('Start List'!P$15:P$139,MATCH($D118,'Start List'!$C$15:$C$139,0)))</f>
        <v/>
      </c>
      <c r="T118" s="80" t="str">
        <f>IF($D118="","",INDEX('Start List'!Q$15:Q$139,MATCH($D118,'Start List'!$C$15:$C$139,0)))</f>
        <v/>
      </c>
      <c r="U118" s="80" t="str">
        <f>IF($D118="","",INDEX('Start List'!R$15:R$139,MATCH($D118,'Start List'!$C$15:$C$139,0)))</f>
        <v/>
      </c>
      <c r="V118" s="80" t="str">
        <f>IF($D118="","",INDEX('Start List'!S$15:S$139,MATCH($D118,'Start List'!$C$15:$C$139,0)))</f>
        <v/>
      </c>
      <c r="W118" s="80" t="str">
        <f>IF($D118="","",INDEX('Start List'!T$15:T$139,MATCH($D118,'Start List'!$C$15:$C$139,0)))</f>
        <v/>
      </c>
      <c r="X118" s="80" t="str">
        <f>IF($D118="","",INDEX('Start List'!U$15:U$139,MATCH($D118,'Start List'!$C$15:$C$139,0)))</f>
        <v/>
      </c>
      <c r="Y118" s="80" t="str">
        <f>IF($D118="","",INDEX('Start List'!V$15:V$139,MATCH($D118,'Start List'!$C$15:$C$139,0)))</f>
        <v/>
      </c>
      <c r="Z118" s="80" t="str">
        <f>IF($D118="","",INDEX('Start List'!W$15:W$139,MATCH($D118,'Start List'!$C$15:$C$139,0)))</f>
        <v/>
      </c>
      <c r="AA118" s="80" t="str">
        <f>IF($D118="","",INDEX('Start List'!X$15:X$139,MATCH($D118,'Start List'!$C$15:$C$139,0)))</f>
        <v/>
      </c>
      <c r="AB118" s="80" t="str">
        <f>IF($D118="","",INDEX('Start List'!Y$15:Y$139,MATCH($D118,'Start List'!$C$15:$C$139,0)))</f>
        <v/>
      </c>
    </row>
    <row r="119" spans="1:28" ht="12.75" x14ac:dyDescent="0.2">
      <c r="A119" s="59" t="str">
        <f>IF(OR(COUNT('Start List'!A:A)+2='Men-Women'!A118,A118=""),"",'Men-Women'!A118+1)</f>
        <v/>
      </c>
      <c r="B119" s="228" t="str">
        <f>IF(A119="","",IF(COUNTIF($B$9:B118,$B$9)-1=COUNTIF('Start List'!C:C,"&gt;999"),'Start List'!$J$10,'Start List'!$J$9))</f>
        <v/>
      </c>
      <c r="C119" s="75" t="str">
        <f>IF(OR(B119="",COUNTIF($B$9:B119,B119)=1),"",COUNTIF($B$9:B119,B119)-1)</f>
        <v/>
      </c>
      <c r="D119" s="227" t="str">
        <f>IF(""=C119,"",IF(COUNTIF($D$9:D118,"")=2,LARGE('Start List'!C:C,A117),LARGE('Start List'!C:C,A118)))</f>
        <v/>
      </c>
      <c r="E119" s="79" t="str">
        <f>IF(C119="","",VLOOKUP(B119,Data!$AK$2:$AN$7,4,FALSE)&amp;C119)</f>
        <v/>
      </c>
      <c r="F119" s="80" t="str">
        <f>IF(COUNTIF(Data!$D$2:$D$97,'Men-Women'!$E119)=0,"",VLOOKUP('Men-Women'!$E119,Data!$D$2:$H$97,'Men-Women'!F$8,FALSE))</f>
        <v/>
      </c>
      <c r="G119" s="80" t="str">
        <f>IF(COUNTIF(Data!$D$2:$D$97,'Men-Women'!$E119)=0,"",VLOOKUP('Men-Women'!$E119,Data!$D$2:$H$97,'Men-Women'!G$8,FALSE))</f>
        <v/>
      </c>
      <c r="H119" s="80" t="str">
        <f>IF(COUNTIF(Data!$D$2:$D$97,'Men-Women'!$E119)=0,"",VLOOKUP('Men-Women'!$E119,Data!$D$2:$H$97,'Men-Women'!H$8,FALSE))</f>
        <v/>
      </c>
      <c r="I119" s="80" t="str">
        <f>IF(COUNTIF(Data!$D$2:$D$97,'Men-Women'!$E119)=0,"",VLOOKUP('Men-Women'!$E119,Data!$D$2:$H$97,'Men-Women'!I$8,FALSE))</f>
        <v/>
      </c>
      <c r="J119" s="77" t="str">
        <f>IF(B119&lt;&gt;B118,B119,IF($D119="","",INDEX('Start List'!$D$15:$D$139,MATCH($D119,'Start List'!$C$15:$C$139,0))))</f>
        <v/>
      </c>
      <c r="K119" s="77" t="str">
        <f>IF($D119="","",INDEX('Start List'!$E$15:$E$139,MATCH($D119,'Start List'!$C$15:$C$139,0)))</f>
        <v/>
      </c>
      <c r="L119" s="77" t="str">
        <f>IF($D119="","",INDEX('Start List'!$H$15:$H$139,MATCH($D119,'Start List'!$C$15:$C$139,0)))</f>
        <v/>
      </c>
      <c r="M119" s="79" t="str">
        <f>IF($D119="","",INDEX('Start List'!$F$15:$F$139,MATCH($D119,'Start List'!$C$15:$C$139,0)))</f>
        <v/>
      </c>
      <c r="N119" s="80" t="str">
        <f>IF($D119="","",INDEX('Start List'!K$15:K$139,MATCH($D119,'Start List'!$C$15:$C$139,0)))</f>
        <v/>
      </c>
      <c r="O119" s="80" t="str">
        <f>IF($D119="","",INDEX('Start List'!L$15:L$139,MATCH($D119,'Start List'!$C$15:$C$139,0)))</f>
        <v/>
      </c>
      <c r="P119" s="80" t="str">
        <f>IF($D119="","",INDEX('Start List'!M$15:M$139,MATCH($D119,'Start List'!$C$15:$C$139,0)))</f>
        <v/>
      </c>
      <c r="Q119" s="80" t="str">
        <f>IF($D119="","",INDEX('Start List'!N$15:N$139,MATCH($D119,'Start List'!$C$15:$C$139,0)))</f>
        <v/>
      </c>
      <c r="R119" s="80" t="str">
        <f>IF($D119="","",INDEX('Start List'!O$15:O$139,MATCH($D119,'Start List'!$C$15:$C$139,0)))</f>
        <v/>
      </c>
      <c r="S119" s="80" t="str">
        <f>IF($D119="","",INDEX('Start List'!P$15:P$139,MATCH($D119,'Start List'!$C$15:$C$139,0)))</f>
        <v/>
      </c>
      <c r="T119" s="80" t="str">
        <f>IF($D119="","",INDEX('Start List'!Q$15:Q$139,MATCH($D119,'Start List'!$C$15:$C$139,0)))</f>
        <v/>
      </c>
      <c r="U119" s="80" t="str">
        <f>IF($D119="","",INDEX('Start List'!R$15:R$139,MATCH($D119,'Start List'!$C$15:$C$139,0)))</f>
        <v/>
      </c>
      <c r="V119" s="80" t="str">
        <f>IF($D119="","",INDEX('Start List'!S$15:S$139,MATCH($D119,'Start List'!$C$15:$C$139,0)))</f>
        <v/>
      </c>
      <c r="W119" s="80" t="str">
        <f>IF($D119="","",INDEX('Start List'!T$15:T$139,MATCH($D119,'Start List'!$C$15:$C$139,0)))</f>
        <v/>
      </c>
      <c r="X119" s="80" t="str">
        <f>IF($D119="","",INDEX('Start List'!U$15:U$139,MATCH($D119,'Start List'!$C$15:$C$139,0)))</f>
        <v/>
      </c>
      <c r="Y119" s="80" t="str">
        <f>IF($D119="","",INDEX('Start List'!V$15:V$139,MATCH($D119,'Start List'!$C$15:$C$139,0)))</f>
        <v/>
      </c>
      <c r="Z119" s="80" t="str">
        <f>IF($D119="","",INDEX('Start List'!W$15:W$139,MATCH($D119,'Start List'!$C$15:$C$139,0)))</f>
        <v/>
      </c>
      <c r="AA119" s="80" t="str">
        <f>IF($D119="","",INDEX('Start List'!X$15:X$139,MATCH($D119,'Start List'!$C$15:$C$139,0)))</f>
        <v/>
      </c>
      <c r="AB119" s="80" t="str">
        <f>IF($D119="","",INDEX('Start List'!Y$15:Y$139,MATCH($D119,'Start List'!$C$15:$C$139,0)))</f>
        <v/>
      </c>
    </row>
    <row r="120" spans="1:28" ht="12.75" x14ac:dyDescent="0.2">
      <c r="A120" s="59" t="str">
        <f>IF(OR(COUNT('Start List'!A:A)+2='Men-Women'!A119,A119=""),"",'Men-Women'!A119+1)</f>
        <v/>
      </c>
      <c r="B120" s="228" t="str">
        <f>IF(A120="","",IF(COUNTIF($B$9:B119,$B$9)-1=COUNTIF('Start List'!C:C,"&gt;999"),'Start List'!$J$10,'Start List'!$J$9))</f>
        <v/>
      </c>
      <c r="C120" s="75" t="str">
        <f>IF(OR(B120="",COUNTIF($B$9:B120,B120)=1),"",COUNTIF($B$9:B120,B120)-1)</f>
        <v/>
      </c>
      <c r="D120" s="227" t="str">
        <f>IF(""=C120,"",IF(COUNTIF($D$9:D119,"")=2,LARGE('Start List'!C:C,A118),LARGE('Start List'!C:C,A119)))</f>
        <v/>
      </c>
      <c r="E120" s="79" t="str">
        <f>IF(C120="","",VLOOKUP(B120,Data!$AK$2:$AN$7,4,FALSE)&amp;C120)</f>
        <v/>
      </c>
      <c r="F120" s="80" t="str">
        <f>IF(COUNTIF(Data!$D$2:$D$97,'Men-Women'!$E120)=0,"",VLOOKUP('Men-Women'!$E120,Data!$D$2:$H$97,'Men-Women'!F$8,FALSE))</f>
        <v/>
      </c>
      <c r="G120" s="80" t="str">
        <f>IF(COUNTIF(Data!$D$2:$D$97,'Men-Women'!$E120)=0,"",VLOOKUP('Men-Women'!$E120,Data!$D$2:$H$97,'Men-Women'!G$8,FALSE))</f>
        <v/>
      </c>
      <c r="H120" s="80" t="str">
        <f>IF(COUNTIF(Data!$D$2:$D$97,'Men-Women'!$E120)=0,"",VLOOKUP('Men-Women'!$E120,Data!$D$2:$H$97,'Men-Women'!H$8,FALSE))</f>
        <v/>
      </c>
      <c r="I120" s="80" t="str">
        <f>IF(COUNTIF(Data!$D$2:$D$97,'Men-Women'!$E120)=0,"",VLOOKUP('Men-Women'!$E120,Data!$D$2:$H$97,'Men-Women'!I$8,FALSE))</f>
        <v/>
      </c>
      <c r="J120" s="77" t="str">
        <f>IF(B120&lt;&gt;B119,B120,IF($D120="","",INDEX('Start List'!$D$15:$D$139,MATCH($D120,'Start List'!$C$15:$C$139,0))))</f>
        <v/>
      </c>
      <c r="K120" s="77" t="str">
        <f>IF($D120="","",INDEX('Start List'!$E$15:$E$139,MATCH($D120,'Start List'!$C$15:$C$139,0)))</f>
        <v/>
      </c>
      <c r="L120" s="77" t="str">
        <f>IF($D120="","",INDEX('Start List'!$H$15:$H$139,MATCH($D120,'Start List'!$C$15:$C$139,0)))</f>
        <v/>
      </c>
      <c r="M120" s="79" t="str">
        <f>IF($D120="","",INDEX('Start List'!$F$15:$F$139,MATCH($D120,'Start List'!$C$15:$C$139,0)))</f>
        <v/>
      </c>
      <c r="N120" s="80" t="str">
        <f>IF($D120="","",INDEX('Start List'!K$15:K$139,MATCH($D120,'Start List'!$C$15:$C$139,0)))</f>
        <v/>
      </c>
      <c r="O120" s="80" t="str">
        <f>IF($D120="","",INDEX('Start List'!L$15:L$139,MATCH($D120,'Start List'!$C$15:$C$139,0)))</f>
        <v/>
      </c>
      <c r="P120" s="80" t="str">
        <f>IF($D120="","",INDEX('Start List'!M$15:M$139,MATCH($D120,'Start List'!$C$15:$C$139,0)))</f>
        <v/>
      </c>
      <c r="Q120" s="80" t="str">
        <f>IF($D120="","",INDEX('Start List'!N$15:N$139,MATCH($D120,'Start List'!$C$15:$C$139,0)))</f>
        <v/>
      </c>
      <c r="R120" s="80" t="str">
        <f>IF($D120="","",INDEX('Start List'!O$15:O$139,MATCH($D120,'Start List'!$C$15:$C$139,0)))</f>
        <v/>
      </c>
      <c r="S120" s="80" t="str">
        <f>IF($D120="","",INDEX('Start List'!P$15:P$139,MATCH($D120,'Start List'!$C$15:$C$139,0)))</f>
        <v/>
      </c>
      <c r="T120" s="80" t="str">
        <f>IF($D120="","",INDEX('Start List'!Q$15:Q$139,MATCH($D120,'Start List'!$C$15:$C$139,0)))</f>
        <v/>
      </c>
      <c r="U120" s="80" t="str">
        <f>IF($D120="","",INDEX('Start List'!R$15:R$139,MATCH($D120,'Start List'!$C$15:$C$139,0)))</f>
        <v/>
      </c>
      <c r="V120" s="80" t="str">
        <f>IF($D120="","",INDEX('Start List'!S$15:S$139,MATCH($D120,'Start List'!$C$15:$C$139,0)))</f>
        <v/>
      </c>
      <c r="W120" s="80" t="str">
        <f>IF($D120="","",INDEX('Start List'!T$15:T$139,MATCH($D120,'Start List'!$C$15:$C$139,0)))</f>
        <v/>
      </c>
      <c r="X120" s="80" t="str">
        <f>IF($D120="","",INDEX('Start List'!U$15:U$139,MATCH($D120,'Start List'!$C$15:$C$139,0)))</f>
        <v/>
      </c>
      <c r="Y120" s="80" t="str">
        <f>IF($D120="","",INDEX('Start List'!V$15:V$139,MATCH($D120,'Start List'!$C$15:$C$139,0)))</f>
        <v/>
      </c>
      <c r="Z120" s="80" t="str">
        <f>IF($D120="","",INDEX('Start List'!W$15:W$139,MATCH($D120,'Start List'!$C$15:$C$139,0)))</f>
        <v/>
      </c>
      <c r="AA120" s="80" t="str">
        <f>IF($D120="","",INDEX('Start List'!X$15:X$139,MATCH($D120,'Start List'!$C$15:$C$139,0)))</f>
        <v/>
      </c>
      <c r="AB120" s="80" t="str">
        <f>IF($D120="","",INDEX('Start List'!Y$15:Y$139,MATCH($D120,'Start List'!$C$15:$C$139,0)))</f>
        <v/>
      </c>
    </row>
    <row r="121" spans="1:28" ht="12.75" x14ac:dyDescent="0.2">
      <c r="A121" s="59" t="str">
        <f>IF(OR(COUNT('Start List'!A:A)+2='Men-Women'!A120,A120=""),"",'Men-Women'!A120+1)</f>
        <v/>
      </c>
      <c r="B121" s="228" t="str">
        <f>IF(A121="","",IF(COUNTIF($B$9:B120,$B$9)-1=COUNTIF('Start List'!C:C,"&gt;999"),'Start List'!$J$10,'Start List'!$J$9))</f>
        <v/>
      </c>
      <c r="C121" s="75" t="str">
        <f>IF(OR(B121="",COUNTIF($B$9:B121,B121)=1),"",COUNTIF($B$9:B121,B121)-1)</f>
        <v/>
      </c>
      <c r="D121" s="227" t="str">
        <f>IF(""=C121,"",IF(COUNTIF($D$9:D120,"")=2,LARGE('Start List'!C:C,A119),LARGE('Start List'!C:C,A120)))</f>
        <v/>
      </c>
      <c r="E121" s="79" t="str">
        <f>IF(C121="","",VLOOKUP(B121,Data!$AK$2:$AN$7,4,FALSE)&amp;C121)</f>
        <v/>
      </c>
      <c r="F121" s="80" t="str">
        <f>IF(COUNTIF(Data!$D$2:$D$97,'Men-Women'!$E121)=0,"",VLOOKUP('Men-Women'!$E121,Data!$D$2:$H$97,'Men-Women'!F$8,FALSE))</f>
        <v/>
      </c>
      <c r="G121" s="80" t="str">
        <f>IF(COUNTIF(Data!$D$2:$D$97,'Men-Women'!$E121)=0,"",VLOOKUP('Men-Women'!$E121,Data!$D$2:$H$97,'Men-Women'!G$8,FALSE))</f>
        <v/>
      </c>
      <c r="H121" s="80" t="str">
        <f>IF(COUNTIF(Data!$D$2:$D$97,'Men-Women'!$E121)=0,"",VLOOKUP('Men-Women'!$E121,Data!$D$2:$H$97,'Men-Women'!H$8,FALSE))</f>
        <v/>
      </c>
      <c r="I121" s="80" t="str">
        <f>IF(COUNTIF(Data!$D$2:$D$97,'Men-Women'!$E121)=0,"",VLOOKUP('Men-Women'!$E121,Data!$D$2:$H$97,'Men-Women'!I$8,FALSE))</f>
        <v/>
      </c>
      <c r="J121" s="77" t="str">
        <f>IF(B121&lt;&gt;B120,B121,IF($D121="","",INDEX('Start List'!$D$15:$D$139,MATCH($D121,'Start List'!$C$15:$C$139,0))))</f>
        <v/>
      </c>
      <c r="K121" s="77" t="str">
        <f>IF($D121="","",INDEX('Start List'!$E$15:$E$139,MATCH($D121,'Start List'!$C$15:$C$139,0)))</f>
        <v/>
      </c>
      <c r="L121" s="77" t="str">
        <f>IF($D121="","",INDEX('Start List'!$H$15:$H$139,MATCH($D121,'Start List'!$C$15:$C$139,0)))</f>
        <v/>
      </c>
      <c r="M121" s="79" t="str">
        <f>IF($D121="","",INDEX('Start List'!$F$15:$F$139,MATCH($D121,'Start List'!$C$15:$C$139,0)))</f>
        <v/>
      </c>
      <c r="N121" s="80" t="str">
        <f>IF($D121="","",INDEX('Start List'!K$15:K$139,MATCH($D121,'Start List'!$C$15:$C$139,0)))</f>
        <v/>
      </c>
      <c r="O121" s="80" t="str">
        <f>IF($D121="","",INDEX('Start List'!L$15:L$139,MATCH($D121,'Start List'!$C$15:$C$139,0)))</f>
        <v/>
      </c>
      <c r="P121" s="80" t="str">
        <f>IF($D121="","",INDEX('Start List'!M$15:M$139,MATCH($D121,'Start List'!$C$15:$C$139,0)))</f>
        <v/>
      </c>
      <c r="Q121" s="80" t="str">
        <f>IF($D121="","",INDEX('Start List'!N$15:N$139,MATCH($D121,'Start List'!$C$15:$C$139,0)))</f>
        <v/>
      </c>
      <c r="R121" s="80" t="str">
        <f>IF($D121="","",INDEX('Start List'!O$15:O$139,MATCH($D121,'Start List'!$C$15:$C$139,0)))</f>
        <v/>
      </c>
      <c r="S121" s="80" t="str">
        <f>IF($D121="","",INDEX('Start List'!P$15:P$139,MATCH($D121,'Start List'!$C$15:$C$139,0)))</f>
        <v/>
      </c>
      <c r="T121" s="80" t="str">
        <f>IF($D121="","",INDEX('Start List'!Q$15:Q$139,MATCH($D121,'Start List'!$C$15:$C$139,0)))</f>
        <v/>
      </c>
      <c r="U121" s="80" t="str">
        <f>IF($D121="","",INDEX('Start List'!R$15:R$139,MATCH($D121,'Start List'!$C$15:$C$139,0)))</f>
        <v/>
      </c>
      <c r="V121" s="80" t="str">
        <f>IF($D121="","",INDEX('Start List'!S$15:S$139,MATCH($D121,'Start List'!$C$15:$C$139,0)))</f>
        <v/>
      </c>
      <c r="W121" s="80" t="str">
        <f>IF($D121="","",INDEX('Start List'!T$15:T$139,MATCH($D121,'Start List'!$C$15:$C$139,0)))</f>
        <v/>
      </c>
      <c r="X121" s="80" t="str">
        <f>IF($D121="","",INDEX('Start List'!U$15:U$139,MATCH($D121,'Start List'!$C$15:$C$139,0)))</f>
        <v/>
      </c>
      <c r="Y121" s="80" t="str">
        <f>IF($D121="","",INDEX('Start List'!V$15:V$139,MATCH($D121,'Start List'!$C$15:$C$139,0)))</f>
        <v/>
      </c>
      <c r="Z121" s="80" t="str">
        <f>IF($D121="","",INDEX('Start List'!W$15:W$139,MATCH($D121,'Start List'!$C$15:$C$139,0)))</f>
        <v/>
      </c>
      <c r="AA121" s="80" t="str">
        <f>IF($D121="","",INDEX('Start List'!X$15:X$139,MATCH($D121,'Start List'!$C$15:$C$139,0)))</f>
        <v/>
      </c>
      <c r="AB121" s="80" t="str">
        <f>IF($D121="","",INDEX('Start List'!Y$15:Y$139,MATCH($D121,'Start List'!$C$15:$C$139,0)))</f>
        <v/>
      </c>
    </row>
    <row r="122" spans="1:28" ht="12.75" x14ac:dyDescent="0.2">
      <c r="A122" s="59" t="str">
        <f>IF(OR(COUNT('Start List'!A:A)+2='Men-Women'!A121,A121=""),"",'Men-Women'!A121+1)</f>
        <v/>
      </c>
      <c r="B122" s="228" t="str">
        <f>IF(A122="","",IF(COUNTIF($B$9:B121,$B$9)-1=COUNTIF('Start List'!C:C,"&gt;999"),'Start List'!$J$10,'Start List'!$J$9))</f>
        <v/>
      </c>
      <c r="C122" s="75" t="str">
        <f>IF(OR(B122="",COUNTIF($B$9:B122,B122)=1),"",COUNTIF($B$9:B122,B122)-1)</f>
        <v/>
      </c>
      <c r="D122" s="227" t="str">
        <f>IF(""=C122,"",IF(COUNTIF($D$9:D121,"")=2,LARGE('Start List'!C:C,A120),LARGE('Start List'!C:C,A121)))</f>
        <v/>
      </c>
      <c r="E122" s="79" t="str">
        <f>IF(C122="","",VLOOKUP(B122,Data!$AK$2:$AN$7,4,FALSE)&amp;C122)</f>
        <v/>
      </c>
      <c r="F122" s="80" t="str">
        <f>IF(COUNTIF(Data!$D$2:$D$97,'Men-Women'!$E122)=0,"",VLOOKUP('Men-Women'!$E122,Data!$D$2:$H$97,'Men-Women'!F$8,FALSE))</f>
        <v/>
      </c>
      <c r="G122" s="80" t="str">
        <f>IF(COUNTIF(Data!$D$2:$D$97,'Men-Women'!$E122)=0,"",VLOOKUP('Men-Women'!$E122,Data!$D$2:$H$97,'Men-Women'!G$8,FALSE))</f>
        <v/>
      </c>
      <c r="H122" s="80" t="str">
        <f>IF(COUNTIF(Data!$D$2:$D$97,'Men-Women'!$E122)=0,"",VLOOKUP('Men-Women'!$E122,Data!$D$2:$H$97,'Men-Women'!H$8,FALSE))</f>
        <v/>
      </c>
      <c r="I122" s="80" t="str">
        <f>IF(COUNTIF(Data!$D$2:$D$97,'Men-Women'!$E122)=0,"",VLOOKUP('Men-Women'!$E122,Data!$D$2:$H$97,'Men-Women'!I$8,FALSE))</f>
        <v/>
      </c>
      <c r="J122" s="77" t="str">
        <f>IF(B122&lt;&gt;B121,B122,IF($D122="","",INDEX('Start List'!$D$15:$D$139,MATCH($D122,'Start List'!$C$15:$C$139,0))))</f>
        <v/>
      </c>
      <c r="K122" s="77" t="str">
        <f>IF($D122="","",INDEX('Start List'!$E$15:$E$139,MATCH($D122,'Start List'!$C$15:$C$139,0)))</f>
        <v/>
      </c>
      <c r="L122" s="77" t="str">
        <f>IF($D122="","",INDEX('Start List'!$H$15:$H$139,MATCH($D122,'Start List'!$C$15:$C$139,0)))</f>
        <v/>
      </c>
      <c r="M122" s="79" t="str">
        <f>IF($D122="","",INDEX('Start List'!$F$15:$F$139,MATCH($D122,'Start List'!$C$15:$C$139,0)))</f>
        <v/>
      </c>
      <c r="N122" s="80" t="str">
        <f>IF($D122="","",INDEX('Start List'!K$15:K$139,MATCH($D122,'Start List'!$C$15:$C$139,0)))</f>
        <v/>
      </c>
      <c r="O122" s="80" t="str">
        <f>IF($D122="","",INDEX('Start List'!L$15:L$139,MATCH($D122,'Start List'!$C$15:$C$139,0)))</f>
        <v/>
      </c>
      <c r="P122" s="80" t="str">
        <f>IF($D122="","",INDEX('Start List'!M$15:M$139,MATCH($D122,'Start List'!$C$15:$C$139,0)))</f>
        <v/>
      </c>
      <c r="Q122" s="80" t="str">
        <f>IF($D122="","",INDEX('Start List'!N$15:N$139,MATCH($D122,'Start List'!$C$15:$C$139,0)))</f>
        <v/>
      </c>
      <c r="R122" s="80" t="str">
        <f>IF($D122="","",INDEX('Start List'!O$15:O$139,MATCH($D122,'Start List'!$C$15:$C$139,0)))</f>
        <v/>
      </c>
      <c r="S122" s="80" t="str">
        <f>IF($D122="","",INDEX('Start List'!P$15:P$139,MATCH($D122,'Start List'!$C$15:$C$139,0)))</f>
        <v/>
      </c>
      <c r="T122" s="80" t="str">
        <f>IF($D122="","",INDEX('Start List'!Q$15:Q$139,MATCH($D122,'Start List'!$C$15:$C$139,0)))</f>
        <v/>
      </c>
      <c r="U122" s="80" t="str">
        <f>IF($D122="","",INDEX('Start List'!R$15:R$139,MATCH($D122,'Start List'!$C$15:$C$139,0)))</f>
        <v/>
      </c>
      <c r="V122" s="80" t="str">
        <f>IF($D122="","",INDEX('Start List'!S$15:S$139,MATCH($D122,'Start List'!$C$15:$C$139,0)))</f>
        <v/>
      </c>
      <c r="W122" s="80" t="str">
        <f>IF($D122="","",INDEX('Start List'!T$15:T$139,MATCH($D122,'Start List'!$C$15:$C$139,0)))</f>
        <v/>
      </c>
      <c r="X122" s="80" t="str">
        <f>IF($D122="","",INDEX('Start List'!U$15:U$139,MATCH($D122,'Start List'!$C$15:$C$139,0)))</f>
        <v/>
      </c>
      <c r="Y122" s="80" t="str">
        <f>IF($D122="","",INDEX('Start List'!V$15:V$139,MATCH($D122,'Start List'!$C$15:$C$139,0)))</f>
        <v/>
      </c>
      <c r="Z122" s="80" t="str">
        <f>IF($D122="","",INDEX('Start List'!W$15:W$139,MATCH($D122,'Start List'!$C$15:$C$139,0)))</f>
        <v/>
      </c>
      <c r="AA122" s="80" t="str">
        <f>IF($D122="","",INDEX('Start List'!X$15:X$139,MATCH($D122,'Start List'!$C$15:$C$139,0)))</f>
        <v/>
      </c>
      <c r="AB122" s="80" t="str">
        <f>IF($D122="","",INDEX('Start List'!Y$15:Y$139,MATCH($D122,'Start List'!$C$15:$C$139,0)))</f>
        <v/>
      </c>
    </row>
    <row r="123" spans="1:28" ht="12.75" x14ac:dyDescent="0.2">
      <c r="A123" s="59" t="str">
        <f>IF(OR(COUNT('Start List'!A:A)+2='Men-Women'!A122,A122=""),"",'Men-Women'!A122+1)</f>
        <v/>
      </c>
      <c r="B123" s="228" t="str">
        <f>IF(A123="","",IF(COUNTIF($B$9:B122,$B$9)-1=COUNTIF('Start List'!C:C,"&gt;999"),'Start List'!$J$10,'Start List'!$J$9))</f>
        <v/>
      </c>
      <c r="C123" s="75" t="str">
        <f>IF(OR(B123="",COUNTIF($B$9:B123,B123)=1),"",COUNTIF($B$9:B123,B123)-1)</f>
        <v/>
      </c>
      <c r="D123" s="227" t="str">
        <f>IF(""=C123,"",IF(COUNTIF($D$9:D122,"")=2,LARGE('Start List'!C:C,A121),LARGE('Start List'!C:C,A122)))</f>
        <v/>
      </c>
      <c r="E123" s="79" t="str">
        <f>IF(C123="","",VLOOKUP(B123,Data!$AK$2:$AN$7,4,FALSE)&amp;C123)</f>
        <v/>
      </c>
      <c r="F123" s="80" t="str">
        <f>IF(COUNTIF(Data!$D$2:$D$97,'Men-Women'!$E123)=0,"",VLOOKUP('Men-Women'!$E123,Data!$D$2:$H$97,'Men-Women'!F$8,FALSE))</f>
        <v/>
      </c>
      <c r="G123" s="80" t="str">
        <f>IF(COUNTIF(Data!$D$2:$D$97,'Men-Women'!$E123)=0,"",VLOOKUP('Men-Women'!$E123,Data!$D$2:$H$97,'Men-Women'!G$8,FALSE))</f>
        <v/>
      </c>
      <c r="H123" s="80" t="str">
        <f>IF(COUNTIF(Data!$D$2:$D$97,'Men-Women'!$E123)=0,"",VLOOKUP('Men-Women'!$E123,Data!$D$2:$H$97,'Men-Women'!H$8,FALSE))</f>
        <v/>
      </c>
      <c r="I123" s="80" t="str">
        <f>IF(COUNTIF(Data!$D$2:$D$97,'Men-Women'!$E123)=0,"",VLOOKUP('Men-Women'!$E123,Data!$D$2:$H$97,'Men-Women'!I$8,FALSE))</f>
        <v/>
      </c>
      <c r="J123" s="77" t="str">
        <f>IF(B123&lt;&gt;B122,B123,IF($D123="","",INDEX('Start List'!$D$15:$D$139,MATCH($D123,'Start List'!$C$15:$C$139,0))))</f>
        <v/>
      </c>
      <c r="K123" s="77" t="str">
        <f>IF($D123="","",INDEX('Start List'!$E$15:$E$139,MATCH($D123,'Start List'!$C$15:$C$139,0)))</f>
        <v/>
      </c>
      <c r="L123" s="77" t="str">
        <f>IF($D123="","",INDEX('Start List'!$H$15:$H$139,MATCH($D123,'Start List'!$C$15:$C$139,0)))</f>
        <v/>
      </c>
      <c r="M123" s="79" t="str">
        <f>IF($D123="","",INDEX('Start List'!$F$15:$F$139,MATCH($D123,'Start List'!$C$15:$C$139,0)))</f>
        <v/>
      </c>
      <c r="N123" s="80" t="str">
        <f>IF($D123="","",INDEX('Start List'!K$15:K$139,MATCH($D123,'Start List'!$C$15:$C$139,0)))</f>
        <v/>
      </c>
      <c r="O123" s="80" t="str">
        <f>IF($D123="","",INDEX('Start List'!L$15:L$139,MATCH($D123,'Start List'!$C$15:$C$139,0)))</f>
        <v/>
      </c>
      <c r="P123" s="80" t="str">
        <f>IF($D123="","",INDEX('Start List'!M$15:M$139,MATCH($D123,'Start List'!$C$15:$C$139,0)))</f>
        <v/>
      </c>
      <c r="Q123" s="80" t="str">
        <f>IF($D123="","",INDEX('Start List'!N$15:N$139,MATCH($D123,'Start List'!$C$15:$C$139,0)))</f>
        <v/>
      </c>
      <c r="R123" s="80" t="str">
        <f>IF($D123="","",INDEX('Start List'!O$15:O$139,MATCH($D123,'Start List'!$C$15:$C$139,0)))</f>
        <v/>
      </c>
      <c r="S123" s="80" t="str">
        <f>IF($D123="","",INDEX('Start List'!P$15:P$139,MATCH($D123,'Start List'!$C$15:$C$139,0)))</f>
        <v/>
      </c>
      <c r="T123" s="80" t="str">
        <f>IF($D123="","",INDEX('Start List'!Q$15:Q$139,MATCH($D123,'Start List'!$C$15:$C$139,0)))</f>
        <v/>
      </c>
      <c r="U123" s="80" t="str">
        <f>IF($D123="","",INDEX('Start List'!R$15:R$139,MATCH($D123,'Start List'!$C$15:$C$139,0)))</f>
        <v/>
      </c>
      <c r="V123" s="80" t="str">
        <f>IF($D123="","",INDEX('Start List'!S$15:S$139,MATCH($D123,'Start List'!$C$15:$C$139,0)))</f>
        <v/>
      </c>
      <c r="W123" s="80" t="str">
        <f>IF($D123="","",INDEX('Start List'!T$15:T$139,MATCH($D123,'Start List'!$C$15:$C$139,0)))</f>
        <v/>
      </c>
      <c r="X123" s="80" t="str">
        <f>IF($D123="","",INDEX('Start List'!U$15:U$139,MATCH($D123,'Start List'!$C$15:$C$139,0)))</f>
        <v/>
      </c>
      <c r="Y123" s="80" t="str">
        <f>IF($D123="","",INDEX('Start List'!V$15:V$139,MATCH($D123,'Start List'!$C$15:$C$139,0)))</f>
        <v/>
      </c>
      <c r="Z123" s="80" t="str">
        <f>IF($D123="","",INDEX('Start List'!W$15:W$139,MATCH($D123,'Start List'!$C$15:$C$139,0)))</f>
        <v/>
      </c>
      <c r="AA123" s="80" t="str">
        <f>IF($D123="","",INDEX('Start List'!X$15:X$139,MATCH($D123,'Start List'!$C$15:$C$139,0)))</f>
        <v/>
      </c>
      <c r="AB123" s="80" t="str">
        <f>IF($D123="","",INDEX('Start List'!Y$15:Y$139,MATCH($D123,'Start List'!$C$15:$C$139,0)))</f>
        <v/>
      </c>
    </row>
    <row r="124" spans="1:28" ht="12.75" x14ac:dyDescent="0.2">
      <c r="A124" s="59" t="str">
        <f>IF(OR(COUNT('Start List'!A:A)+2='Men-Women'!A123,A123=""),"",'Men-Women'!A123+1)</f>
        <v/>
      </c>
      <c r="B124" s="228" t="str">
        <f>IF(A124="","",IF(COUNTIF($B$9:B123,$B$9)-1=COUNTIF('Start List'!C:C,"&gt;999"),'Start List'!$J$10,'Start List'!$J$9))</f>
        <v/>
      </c>
      <c r="C124" s="75" t="str">
        <f>IF(OR(B124="",COUNTIF($B$9:B124,B124)=1),"",COUNTIF($B$9:B124,B124)-1)</f>
        <v/>
      </c>
      <c r="D124" s="227" t="str">
        <f>IF(""=C124,"",IF(COUNTIF($D$9:D123,"")=2,LARGE('Start List'!C:C,A122),LARGE('Start List'!C:C,A123)))</f>
        <v/>
      </c>
      <c r="E124" s="79" t="str">
        <f>IF(C124="","",VLOOKUP(B124,Data!$AK$2:$AN$7,4,FALSE)&amp;C124)</f>
        <v/>
      </c>
      <c r="F124" s="80" t="str">
        <f>IF(COUNTIF(Data!$D$2:$D$97,'Men-Women'!$E124)=0,"",VLOOKUP('Men-Women'!$E124,Data!$D$2:$H$97,'Men-Women'!F$8,FALSE))</f>
        <v/>
      </c>
      <c r="G124" s="80" t="str">
        <f>IF(COUNTIF(Data!$D$2:$D$97,'Men-Women'!$E124)=0,"",VLOOKUP('Men-Women'!$E124,Data!$D$2:$H$97,'Men-Women'!G$8,FALSE))</f>
        <v/>
      </c>
      <c r="H124" s="80" t="str">
        <f>IF(COUNTIF(Data!$D$2:$D$97,'Men-Women'!$E124)=0,"",VLOOKUP('Men-Women'!$E124,Data!$D$2:$H$97,'Men-Women'!H$8,FALSE))</f>
        <v/>
      </c>
      <c r="I124" s="80" t="str">
        <f>IF(COUNTIF(Data!$D$2:$D$97,'Men-Women'!$E124)=0,"",VLOOKUP('Men-Women'!$E124,Data!$D$2:$H$97,'Men-Women'!I$8,FALSE))</f>
        <v/>
      </c>
      <c r="J124" s="77" t="str">
        <f>IF(B124&lt;&gt;B123,B124,IF($D124="","",INDEX('Start List'!$D$15:$D$139,MATCH($D124,'Start List'!$C$15:$C$139,0))))</f>
        <v/>
      </c>
      <c r="K124" s="77" t="str">
        <f>IF($D124="","",INDEX('Start List'!$E$15:$E$139,MATCH($D124,'Start List'!$C$15:$C$139,0)))</f>
        <v/>
      </c>
      <c r="L124" s="77" t="str">
        <f>IF($D124="","",INDEX('Start List'!$H$15:$H$139,MATCH($D124,'Start List'!$C$15:$C$139,0)))</f>
        <v/>
      </c>
      <c r="M124" s="79" t="str">
        <f>IF($D124="","",INDEX('Start List'!$F$15:$F$139,MATCH($D124,'Start List'!$C$15:$C$139,0)))</f>
        <v/>
      </c>
      <c r="N124" s="80" t="str">
        <f>IF($D124="","",INDEX('Start List'!K$15:K$139,MATCH($D124,'Start List'!$C$15:$C$139,0)))</f>
        <v/>
      </c>
      <c r="O124" s="80" t="str">
        <f>IF($D124="","",INDEX('Start List'!L$15:L$139,MATCH($D124,'Start List'!$C$15:$C$139,0)))</f>
        <v/>
      </c>
      <c r="P124" s="80" t="str">
        <f>IF($D124="","",INDEX('Start List'!M$15:M$139,MATCH($D124,'Start List'!$C$15:$C$139,0)))</f>
        <v/>
      </c>
      <c r="Q124" s="80" t="str">
        <f>IF($D124="","",INDEX('Start List'!N$15:N$139,MATCH($D124,'Start List'!$C$15:$C$139,0)))</f>
        <v/>
      </c>
      <c r="R124" s="80" t="str">
        <f>IF($D124="","",INDEX('Start List'!O$15:O$139,MATCH($D124,'Start List'!$C$15:$C$139,0)))</f>
        <v/>
      </c>
      <c r="S124" s="80" t="str">
        <f>IF($D124="","",INDEX('Start List'!P$15:P$139,MATCH($D124,'Start List'!$C$15:$C$139,0)))</f>
        <v/>
      </c>
      <c r="T124" s="80" t="str">
        <f>IF($D124="","",INDEX('Start List'!Q$15:Q$139,MATCH($D124,'Start List'!$C$15:$C$139,0)))</f>
        <v/>
      </c>
      <c r="U124" s="80" t="str">
        <f>IF($D124="","",INDEX('Start List'!R$15:R$139,MATCH($D124,'Start List'!$C$15:$C$139,0)))</f>
        <v/>
      </c>
      <c r="V124" s="80" t="str">
        <f>IF($D124="","",INDEX('Start List'!S$15:S$139,MATCH($D124,'Start List'!$C$15:$C$139,0)))</f>
        <v/>
      </c>
      <c r="W124" s="80" t="str">
        <f>IF($D124="","",INDEX('Start List'!T$15:T$139,MATCH($D124,'Start List'!$C$15:$C$139,0)))</f>
        <v/>
      </c>
      <c r="X124" s="80" t="str">
        <f>IF($D124="","",INDEX('Start List'!U$15:U$139,MATCH($D124,'Start List'!$C$15:$C$139,0)))</f>
        <v/>
      </c>
      <c r="Y124" s="80" t="str">
        <f>IF($D124="","",INDEX('Start List'!V$15:V$139,MATCH($D124,'Start List'!$C$15:$C$139,0)))</f>
        <v/>
      </c>
      <c r="Z124" s="80" t="str">
        <f>IF($D124="","",INDEX('Start List'!W$15:W$139,MATCH($D124,'Start List'!$C$15:$C$139,0)))</f>
        <v/>
      </c>
      <c r="AA124" s="80" t="str">
        <f>IF($D124="","",INDEX('Start List'!X$15:X$139,MATCH($D124,'Start List'!$C$15:$C$139,0)))</f>
        <v/>
      </c>
      <c r="AB124" s="80" t="str">
        <f>IF($D124="","",INDEX('Start List'!Y$15:Y$139,MATCH($D124,'Start List'!$C$15:$C$139,0)))</f>
        <v/>
      </c>
    </row>
    <row r="125" spans="1:28" ht="12.75" x14ac:dyDescent="0.2">
      <c r="A125" s="59" t="str">
        <f>IF(OR(COUNT('Start List'!A:A)+2='Men-Women'!A124,A124=""),"",'Men-Women'!A124+1)</f>
        <v/>
      </c>
      <c r="B125" s="228" t="str">
        <f>IF(A125="","",IF(COUNTIF($B$9:B124,$B$9)-1=COUNTIF('Start List'!C:C,"&gt;999"),'Start List'!$J$10,'Start List'!$J$9))</f>
        <v/>
      </c>
      <c r="C125" s="75" t="str">
        <f>IF(OR(B125="",COUNTIF($B$9:B125,B125)=1),"",COUNTIF($B$9:B125,B125)-1)</f>
        <v/>
      </c>
      <c r="D125" s="227" t="str">
        <f>IF(""=C125,"",IF(COUNTIF($D$9:D124,"")=2,LARGE('Start List'!C:C,A123),LARGE('Start List'!C:C,A124)))</f>
        <v/>
      </c>
      <c r="E125" s="79" t="str">
        <f>IF(C125="","",VLOOKUP(B125,Data!$AK$2:$AN$7,4,FALSE)&amp;C125)</f>
        <v/>
      </c>
      <c r="F125" s="80" t="str">
        <f>IF(COUNTIF(Data!$D$2:$D$97,'Men-Women'!$E125)=0,"",VLOOKUP('Men-Women'!$E125,Data!$D$2:$H$97,'Men-Women'!F$8,FALSE))</f>
        <v/>
      </c>
      <c r="G125" s="80" t="str">
        <f>IF(COUNTIF(Data!$D$2:$D$97,'Men-Women'!$E125)=0,"",VLOOKUP('Men-Women'!$E125,Data!$D$2:$H$97,'Men-Women'!G$8,FALSE))</f>
        <v/>
      </c>
      <c r="H125" s="80" t="str">
        <f>IF(COUNTIF(Data!$D$2:$D$97,'Men-Women'!$E125)=0,"",VLOOKUP('Men-Women'!$E125,Data!$D$2:$H$97,'Men-Women'!H$8,FALSE))</f>
        <v/>
      </c>
      <c r="I125" s="80" t="str">
        <f>IF(COUNTIF(Data!$D$2:$D$97,'Men-Women'!$E125)=0,"",VLOOKUP('Men-Women'!$E125,Data!$D$2:$H$97,'Men-Women'!I$8,FALSE))</f>
        <v/>
      </c>
      <c r="J125" s="77" t="str">
        <f>IF(B125&lt;&gt;B124,B125,IF($D125="","",INDEX('Start List'!$D$15:$D$139,MATCH($D125,'Start List'!$C$15:$C$139,0))))</f>
        <v/>
      </c>
      <c r="K125" s="77" t="str">
        <f>IF($D125="","",INDEX('Start List'!$E$15:$E$139,MATCH($D125,'Start List'!$C$15:$C$139,0)))</f>
        <v/>
      </c>
      <c r="L125" s="77" t="str">
        <f>IF($D125="","",INDEX('Start List'!$H$15:$H$139,MATCH($D125,'Start List'!$C$15:$C$139,0)))</f>
        <v/>
      </c>
      <c r="M125" s="79" t="str">
        <f>IF($D125="","",INDEX('Start List'!$F$15:$F$139,MATCH($D125,'Start List'!$C$15:$C$139,0)))</f>
        <v/>
      </c>
      <c r="N125" s="80" t="str">
        <f>IF($D125="","",INDEX('Start List'!K$15:K$139,MATCH($D125,'Start List'!$C$15:$C$139,0)))</f>
        <v/>
      </c>
      <c r="O125" s="80" t="str">
        <f>IF($D125="","",INDEX('Start List'!L$15:L$139,MATCH($D125,'Start List'!$C$15:$C$139,0)))</f>
        <v/>
      </c>
      <c r="P125" s="80" t="str">
        <f>IF($D125="","",INDEX('Start List'!M$15:M$139,MATCH($D125,'Start List'!$C$15:$C$139,0)))</f>
        <v/>
      </c>
      <c r="Q125" s="80" t="str">
        <f>IF($D125="","",INDEX('Start List'!N$15:N$139,MATCH($D125,'Start List'!$C$15:$C$139,0)))</f>
        <v/>
      </c>
      <c r="R125" s="80" t="str">
        <f>IF($D125="","",INDEX('Start List'!O$15:O$139,MATCH($D125,'Start List'!$C$15:$C$139,0)))</f>
        <v/>
      </c>
      <c r="S125" s="80" t="str">
        <f>IF($D125="","",INDEX('Start List'!P$15:P$139,MATCH($D125,'Start List'!$C$15:$C$139,0)))</f>
        <v/>
      </c>
      <c r="T125" s="80" t="str">
        <f>IF($D125="","",INDEX('Start List'!Q$15:Q$139,MATCH($D125,'Start List'!$C$15:$C$139,0)))</f>
        <v/>
      </c>
      <c r="U125" s="80" t="str">
        <f>IF($D125="","",INDEX('Start List'!R$15:R$139,MATCH($D125,'Start List'!$C$15:$C$139,0)))</f>
        <v/>
      </c>
      <c r="V125" s="80" t="str">
        <f>IF($D125="","",INDEX('Start List'!S$15:S$139,MATCH($D125,'Start List'!$C$15:$C$139,0)))</f>
        <v/>
      </c>
      <c r="W125" s="80" t="str">
        <f>IF($D125="","",INDEX('Start List'!T$15:T$139,MATCH($D125,'Start List'!$C$15:$C$139,0)))</f>
        <v/>
      </c>
      <c r="X125" s="80" t="str">
        <f>IF($D125="","",INDEX('Start List'!U$15:U$139,MATCH($D125,'Start List'!$C$15:$C$139,0)))</f>
        <v/>
      </c>
      <c r="Y125" s="80" t="str">
        <f>IF($D125="","",INDEX('Start List'!V$15:V$139,MATCH($D125,'Start List'!$C$15:$C$139,0)))</f>
        <v/>
      </c>
      <c r="Z125" s="80" t="str">
        <f>IF($D125="","",INDEX('Start List'!W$15:W$139,MATCH($D125,'Start List'!$C$15:$C$139,0)))</f>
        <v/>
      </c>
      <c r="AA125" s="80" t="str">
        <f>IF($D125="","",INDEX('Start List'!X$15:X$139,MATCH($D125,'Start List'!$C$15:$C$139,0)))</f>
        <v/>
      </c>
      <c r="AB125" s="80" t="str">
        <f>IF($D125="","",INDEX('Start List'!Y$15:Y$139,MATCH($D125,'Start List'!$C$15:$C$139,0)))</f>
        <v/>
      </c>
    </row>
    <row r="126" spans="1:28" ht="12.75" x14ac:dyDescent="0.2">
      <c r="A126" s="59" t="str">
        <f>IF(OR(COUNT('Start List'!A:A)+2='Men-Women'!A125,A125=""),"",'Men-Women'!A125+1)</f>
        <v/>
      </c>
      <c r="B126" s="228" t="str">
        <f>IF(A126="","",IF(COUNTIF($B$9:B125,$B$9)-1=COUNTIF('Start List'!C:C,"&gt;999"),'Start List'!$J$10,'Start List'!$J$9))</f>
        <v/>
      </c>
      <c r="C126" s="75" t="str">
        <f>IF(OR(B126="",COUNTIF($B$9:B126,B126)=1),"",COUNTIF($B$9:B126,B126)-1)</f>
        <v/>
      </c>
      <c r="D126" s="227" t="str">
        <f>IF(""=C126,"",IF(COUNTIF($D$9:D125,"")=2,LARGE('Start List'!C:C,A124),LARGE('Start List'!C:C,A125)))</f>
        <v/>
      </c>
      <c r="E126" s="79" t="str">
        <f>IF(C126="","",VLOOKUP(B126,Data!$AK$2:$AN$7,4,FALSE)&amp;C126)</f>
        <v/>
      </c>
      <c r="F126" s="80" t="str">
        <f>IF(COUNTIF(Data!$D$2:$D$97,'Men-Women'!$E126)=0,"",VLOOKUP('Men-Women'!$E126,Data!$D$2:$H$97,'Men-Women'!F$8,FALSE))</f>
        <v/>
      </c>
      <c r="G126" s="80" t="str">
        <f>IF(COUNTIF(Data!$D$2:$D$97,'Men-Women'!$E126)=0,"",VLOOKUP('Men-Women'!$E126,Data!$D$2:$H$97,'Men-Women'!G$8,FALSE))</f>
        <v/>
      </c>
      <c r="H126" s="80" t="str">
        <f>IF(COUNTIF(Data!$D$2:$D$97,'Men-Women'!$E126)=0,"",VLOOKUP('Men-Women'!$E126,Data!$D$2:$H$97,'Men-Women'!H$8,FALSE))</f>
        <v/>
      </c>
      <c r="I126" s="80" t="str">
        <f>IF(COUNTIF(Data!$D$2:$D$97,'Men-Women'!$E126)=0,"",VLOOKUP('Men-Women'!$E126,Data!$D$2:$H$97,'Men-Women'!I$8,FALSE))</f>
        <v/>
      </c>
      <c r="J126" s="77" t="str">
        <f>IF(B126&lt;&gt;B125,B126,IF($D126="","",INDEX('Start List'!$D$15:$D$139,MATCH($D126,'Start List'!$C$15:$C$139,0))))</f>
        <v/>
      </c>
      <c r="K126" s="77" t="str">
        <f>IF($D126="","",INDEX('Start List'!$E$15:$E$139,MATCH($D126,'Start List'!$C$15:$C$139,0)))</f>
        <v/>
      </c>
      <c r="L126" s="77" t="str">
        <f>IF($D126="","",INDEX('Start List'!$H$15:$H$139,MATCH($D126,'Start List'!$C$15:$C$139,0)))</f>
        <v/>
      </c>
      <c r="M126" s="79" t="str">
        <f>IF($D126="","",INDEX('Start List'!$F$15:$F$139,MATCH($D126,'Start List'!$C$15:$C$139,0)))</f>
        <v/>
      </c>
      <c r="N126" s="80" t="str">
        <f>IF($D126="","",INDEX('Start List'!K$15:K$139,MATCH($D126,'Start List'!$C$15:$C$139,0)))</f>
        <v/>
      </c>
      <c r="O126" s="80" t="str">
        <f>IF($D126="","",INDEX('Start List'!L$15:L$139,MATCH($D126,'Start List'!$C$15:$C$139,0)))</f>
        <v/>
      </c>
      <c r="P126" s="80" t="str">
        <f>IF($D126="","",INDEX('Start List'!M$15:M$139,MATCH($D126,'Start List'!$C$15:$C$139,0)))</f>
        <v/>
      </c>
      <c r="Q126" s="80" t="str">
        <f>IF($D126="","",INDEX('Start List'!N$15:N$139,MATCH($D126,'Start List'!$C$15:$C$139,0)))</f>
        <v/>
      </c>
      <c r="R126" s="80" t="str">
        <f>IF($D126="","",INDEX('Start List'!O$15:O$139,MATCH($D126,'Start List'!$C$15:$C$139,0)))</f>
        <v/>
      </c>
      <c r="S126" s="80" t="str">
        <f>IF($D126="","",INDEX('Start List'!P$15:P$139,MATCH($D126,'Start List'!$C$15:$C$139,0)))</f>
        <v/>
      </c>
      <c r="T126" s="80" t="str">
        <f>IF($D126="","",INDEX('Start List'!Q$15:Q$139,MATCH($D126,'Start List'!$C$15:$C$139,0)))</f>
        <v/>
      </c>
      <c r="U126" s="80" t="str">
        <f>IF($D126="","",INDEX('Start List'!R$15:R$139,MATCH($D126,'Start List'!$C$15:$C$139,0)))</f>
        <v/>
      </c>
      <c r="V126" s="80" t="str">
        <f>IF($D126="","",INDEX('Start List'!S$15:S$139,MATCH($D126,'Start List'!$C$15:$C$139,0)))</f>
        <v/>
      </c>
      <c r="W126" s="80" t="str">
        <f>IF($D126="","",INDEX('Start List'!T$15:T$139,MATCH($D126,'Start List'!$C$15:$C$139,0)))</f>
        <v/>
      </c>
      <c r="X126" s="80" t="str">
        <f>IF($D126="","",INDEX('Start List'!U$15:U$139,MATCH($D126,'Start List'!$C$15:$C$139,0)))</f>
        <v/>
      </c>
      <c r="Y126" s="80" t="str">
        <f>IF($D126="","",INDEX('Start List'!V$15:V$139,MATCH($D126,'Start List'!$C$15:$C$139,0)))</f>
        <v/>
      </c>
      <c r="Z126" s="80" t="str">
        <f>IF($D126="","",INDEX('Start List'!W$15:W$139,MATCH($D126,'Start List'!$C$15:$C$139,0)))</f>
        <v/>
      </c>
      <c r="AA126" s="80" t="str">
        <f>IF($D126="","",INDEX('Start List'!X$15:X$139,MATCH($D126,'Start List'!$C$15:$C$139,0)))</f>
        <v/>
      </c>
      <c r="AB126" s="80" t="str">
        <f>IF($D126="","",INDEX('Start List'!Y$15:Y$139,MATCH($D126,'Start List'!$C$15:$C$139,0)))</f>
        <v/>
      </c>
    </row>
    <row r="127" spans="1:28" ht="12.75" x14ac:dyDescent="0.2">
      <c r="A127" s="59" t="str">
        <f>IF(OR(COUNT('Start List'!A:A)+2='Men-Women'!A126,A126=""),"",'Men-Women'!A126+1)</f>
        <v/>
      </c>
      <c r="B127" s="228" t="str">
        <f>IF(A127="","",IF(COUNTIF($B$9:B126,$B$9)-1=COUNTIF('Start List'!C:C,"&gt;999"),'Start List'!$J$10,'Start List'!$J$9))</f>
        <v/>
      </c>
      <c r="C127" s="75" t="str">
        <f>IF(OR(B127="",COUNTIF($B$9:B127,B127)=1),"",COUNTIF($B$9:B127,B127)-1)</f>
        <v/>
      </c>
      <c r="D127" s="227" t="str">
        <f>IF(""=C127,"",IF(COUNTIF($D$9:D126,"")=2,LARGE('Start List'!C:C,A125),LARGE('Start List'!C:C,A126)))</f>
        <v/>
      </c>
      <c r="E127" s="79" t="str">
        <f>IF(C127="","",VLOOKUP(B127,Data!$AK$2:$AN$7,4,FALSE)&amp;C127)</f>
        <v/>
      </c>
      <c r="F127" s="80" t="str">
        <f>IF(COUNTIF(Data!$D$2:$D$97,'Men-Women'!$E127)=0,"",VLOOKUP('Men-Women'!$E127,Data!$D$2:$H$97,'Men-Women'!F$8,FALSE))</f>
        <v/>
      </c>
      <c r="G127" s="80" t="str">
        <f>IF(COUNTIF(Data!$D$2:$D$97,'Men-Women'!$E127)=0,"",VLOOKUP('Men-Women'!$E127,Data!$D$2:$H$97,'Men-Women'!G$8,FALSE))</f>
        <v/>
      </c>
      <c r="H127" s="80" t="str">
        <f>IF(COUNTIF(Data!$D$2:$D$97,'Men-Women'!$E127)=0,"",VLOOKUP('Men-Women'!$E127,Data!$D$2:$H$97,'Men-Women'!H$8,FALSE))</f>
        <v/>
      </c>
      <c r="I127" s="80" t="str">
        <f>IF(COUNTIF(Data!$D$2:$D$97,'Men-Women'!$E127)=0,"",VLOOKUP('Men-Women'!$E127,Data!$D$2:$H$97,'Men-Women'!I$8,FALSE))</f>
        <v/>
      </c>
      <c r="J127" s="77" t="str">
        <f>IF(B127&lt;&gt;B126,B127,IF($D127="","",INDEX('Start List'!$D$15:$D$139,MATCH($D127,'Start List'!$C$15:$C$139,0))))</f>
        <v/>
      </c>
      <c r="K127" s="77" t="str">
        <f>IF($D127="","",INDEX('Start List'!$E$15:$E$139,MATCH($D127,'Start List'!$C$15:$C$139,0)))</f>
        <v/>
      </c>
      <c r="L127" s="77" t="str">
        <f>IF($D127="","",INDEX('Start List'!$H$15:$H$139,MATCH($D127,'Start List'!$C$15:$C$139,0)))</f>
        <v/>
      </c>
      <c r="M127" s="79" t="str">
        <f>IF($D127="","",INDEX('Start List'!$F$15:$F$139,MATCH($D127,'Start List'!$C$15:$C$139,0)))</f>
        <v/>
      </c>
      <c r="N127" s="80" t="str">
        <f>IF($D127="","",INDEX('Start List'!K$15:K$139,MATCH($D127,'Start List'!$C$15:$C$139,0)))</f>
        <v/>
      </c>
      <c r="O127" s="80" t="str">
        <f>IF($D127="","",INDEX('Start List'!L$15:L$139,MATCH($D127,'Start List'!$C$15:$C$139,0)))</f>
        <v/>
      </c>
      <c r="P127" s="80" t="str">
        <f>IF($D127="","",INDEX('Start List'!M$15:M$139,MATCH($D127,'Start List'!$C$15:$C$139,0)))</f>
        <v/>
      </c>
      <c r="Q127" s="80" t="str">
        <f>IF($D127="","",INDEX('Start List'!N$15:N$139,MATCH($D127,'Start List'!$C$15:$C$139,0)))</f>
        <v/>
      </c>
      <c r="R127" s="80" t="str">
        <f>IF($D127="","",INDEX('Start List'!O$15:O$139,MATCH($D127,'Start List'!$C$15:$C$139,0)))</f>
        <v/>
      </c>
      <c r="S127" s="80" t="str">
        <f>IF($D127="","",INDEX('Start List'!P$15:P$139,MATCH($D127,'Start List'!$C$15:$C$139,0)))</f>
        <v/>
      </c>
      <c r="T127" s="80" t="str">
        <f>IF($D127="","",INDEX('Start List'!Q$15:Q$139,MATCH($D127,'Start List'!$C$15:$C$139,0)))</f>
        <v/>
      </c>
      <c r="U127" s="80" t="str">
        <f>IF($D127="","",INDEX('Start List'!R$15:R$139,MATCH($D127,'Start List'!$C$15:$C$139,0)))</f>
        <v/>
      </c>
      <c r="V127" s="80" t="str">
        <f>IF($D127="","",INDEX('Start List'!S$15:S$139,MATCH($D127,'Start List'!$C$15:$C$139,0)))</f>
        <v/>
      </c>
      <c r="W127" s="80" t="str">
        <f>IF($D127="","",INDEX('Start List'!T$15:T$139,MATCH($D127,'Start List'!$C$15:$C$139,0)))</f>
        <v/>
      </c>
      <c r="X127" s="80" t="str">
        <f>IF($D127="","",INDEX('Start List'!U$15:U$139,MATCH($D127,'Start List'!$C$15:$C$139,0)))</f>
        <v/>
      </c>
      <c r="Y127" s="80" t="str">
        <f>IF($D127="","",INDEX('Start List'!V$15:V$139,MATCH($D127,'Start List'!$C$15:$C$139,0)))</f>
        <v/>
      </c>
      <c r="Z127" s="80" t="str">
        <f>IF($D127="","",INDEX('Start List'!W$15:W$139,MATCH($D127,'Start List'!$C$15:$C$139,0)))</f>
        <v/>
      </c>
      <c r="AA127" s="80" t="str">
        <f>IF($D127="","",INDEX('Start List'!X$15:X$139,MATCH($D127,'Start List'!$C$15:$C$139,0)))</f>
        <v/>
      </c>
      <c r="AB127" s="80" t="str">
        <f>IF($D127="","",INDEX('Start List'!Y$15:Y$139,MATCH($D127,'Start List'!$C$15:$C$139,0)))</f>
        <v/>
      </c>
    </row>
    <row r="128" spans="1:28" ht="12.75" x14ac:dyDescent="0.2">
      <c r="A128" s="59" t="str">
        <f>IF(OR(COUNT('Start List'!A:A)+2='Men-Women'!A127,A127=""),"",'Men-Women'!A127+1)</f>
        <v/>
      </c>
      <c r="B128" s="228" t="str">
        <f>IF(A128="","",IF(COUNTIF($B$9:B127,$B$9)-1=COUNTIF('Start List'!C:C,"&gt;999"),'Start List'!$J$10,'Start List'!$J$9))</f>
        <v/>
      </c>
      <c r="C128" s="75" t="str">
        <f>IF(OR(B128="",COUNTIF($B$9:B128,B128)=1),"",COUNTIF($B$9:B128,B128)-1)</f>
        <v/>
      </c>
      <c r="D128" s="227" t="str">
        <f>IF(""=C128,"",IF(COUNTIF($D$9:D127,"")=2,LARGE('Start List'!C:C,A126),LARGE('Start List'!C:C,A127)))</f>
        <v/>
      </c>
      <c r="E128" s="79" t="str">
        <f>IF(C128="","",VLOOKUP(B128,Data!$AK$2:$AN$7,4,FALSE)&amp;C128)</f>
        <v/>
      </c>
      <c r="F128" s="80" t="str">
        <f>IF(COUNTIF(Data!$D$2:$D$97,'Men-Women'!$E128)=0,"",VLOOKUP('Men-Women'!$E128,Data!$D$2:$H$97,'Men-Women'!F$8,FALSE))</f>
        <v/>
      </c>
      <c r="G128" s="80" t="str">
        <f>IF(COUNTIF(Data!$D$2:$D$97,'Men-Women'!$E128)=0,"",VLOOKUP('Men-Women'!$E128,Data!$D$2:$H$97,'Men-Women'!G$8,FALSE))</f>
        <v/>
      </c>
      <c r="H128" s="80" t="str">
        <f>IF(COUNTIF(Data!$D$2:$D$97,'Men-Women'!$E128)=0,"",VLOOKUP('Men-Women'!$E128,Data!$D$2:$H$97,'Men-Women'!H$8,FALSE))</f>
        <v/>
      </c>
      <c r="I128" s="80" t="str">
        <f>IF(COUNTIF(Data!$D$2:$D$97,'Men-Women'!$E128)=0,"",VLOOKUP('Men-Women'!$E128,Data!$D$2:$H$97,'Men-Women'!I$8,FALSE))</f>
        <v/>
      </c>
      <c r="J128" s="77" t="str">
        <f>IF(B128&lt;&gt;B127,B128,IF($D128="","",INDEX('Start List'!$D$15:$D$139,MATCH($D128,'Start List'!$C$15:$C$139,0))))</f>
        <v/>
      </c>
      <c r="K128" s="77" t="str">
        <f>IF($D128="","",INDEX('Start List'!$E$15:$E$139,MATCH($D128,'Start List'!$C$15:$C$139,0)))</f>
        <v/>
      </c>
      <c r="L128" s="77" t="str">
        <f>IF($D128="","",INDEX('Start List'!$H$15:$H$139,MATCH($D128,'Start List'!$C$15:$C$139,0)))</f>
        <v/>
      </c>
      <c r="M128" s="79" t="str">
        <f>IF($D128="","",INDEX('Start List'!$F$15:$F$139,MATCH($D128,'Start List'!$C$15:$C$139,0)))</f>
        <v/>
      </c>
      <c r="N128" s="80" t="str">
        <f>IF($D128="","",INDEX('Start List'!K$15:K$139,MATCH($D128,'Start List'!$C$15:$C$139,0)))</f>
        <v/>
      </c>
      <c r="O128" s="80" t="str">
        <f>IF($D128="","",INDEX('Start List'!L$15:L$139,MATCH($D128,'Start List'!$C$15:$C$139,0)))</f>
        <v/>
      </c>
      <c r="P128" s="80" t="str">
        <f>IF($D128="","",INDEX('Start List'!M$15:M$139,MATCH($D128,'Start List'!$C$15:$C$139,0)))</f>
        <v/>
      </c>
      <c r="Q128" s="80" t="str">
        <f>IF($D128="","",INDEX('Start List'!N$15:N$139,MATCH($D128,'Start List'!$C$15:$C$139,0)))</f>
        <v/>
      </c>
      <c r="R128" s="80" t="str">
        <f>IF($D128="","",INDEX('Start List'!O$15:O$139,MATCH($D128,'Start List'!$C$15:$C$139,0)))</f>
        <v/>
      </c>
      <c r="S128" s="80" t="str">
        <f>IF($D128="","",INDEX('Start List'!P$15:P$139,MATCH($D128,'Start List'!$C$15:$C$139,0)))</f>
        <v/>
      </c>
      <c r="T128" s="80" t="str">
        <f>IF($D128="","",INDEX('Start List'!Q$15:Q$139,MATCH($D128,'Start List'!$C$15:$C$139,0)))</f>
        <v/>
      </c>
      <c r="U128" s="80" t="str">
        <f>IF($D128="","",INDEX('Start List'!R$15:R$139,MATCH($D128,'Start List'!$C$15:$C$139,0)))</f>
        <v/>
      </c>
      <c r="V128" s="80" t="str">
        <f>IF($D128="","",INDEX('Start List'!S$15:S$139,MATCH($D128,'Start List'!$C$15:$C$139,0)))</f>
        <v/>
      </c>
      <c r="W128" s="80" t="str">
        <f>IF($D128="","",INDEX('Start List'!T$15:T$139,MATCH($D128,'Start List'!$C$15:$C$139,0)))</f>
        <v/>
      </c>
      <c r="X128" s="80" t="str">
        <f>IF($D128="","",INDEX('Start List'!U$15:U$139,MATCH($D128,'Start List'!$C$15:$C$139,0)))</f>
        <v/>
      </c>
      <c r="Y128" s="80" t="str">
        <f>IF($D128="","",INDEX('Start List'!V$15:V$139,MATCH($D128,'Start List'!$C$15:$C$139,0)))</f>
        <v/>
      </c>
      <c r="Z128" s="80" t="str">
        <f>IF($D128="","",INDEX('Start List'!W$15:W$139,MATCH($D128,'Start List'!$C$15:$C$139,0)))</f>
        <v/>
      </c>
      <c r="AA128" s="80" t="str">
        <f>IF($D128="","",INDEX('Start List'!X$15:X$139,MATCH($D128,'Start List'!$C$15:$C$139,0)))</f>
        <v/>
      </c>
      <c r="AB128" s="80" t="str">
        <f>IF($D128="","",INDEX('Start List'!Y$15:Y$139,MATCH($D128,'Start List'!$C$15:$C$139,0)))</f>
        <v/>
      </c>
    </row>
    <row r="129" spans="1:28" ht="12.75" x14ac:dyDescent="0.2">
      <c r="A129" s="59" t="str">
        <f>IF(OR(COUNT('Start List'!A:A)+2='Men-Women'!A128,A128=""),"",'Men-Women'!A128+1)</f>
        <v/>
      </c>
      <c r="B129" s="228" t="str">
        <f>IF(A129="","",IF(COUNTIF($B$9:B128,$B$9)-1=COUNTIF('Start List'!C:C,"&gt;999"),'Start List'!$J$10,'Start List'!$J$9))</f>
        <v/>
      </c>
      <c r="C129" s="75" t="str">
        <f>IF(OR(B129="",COUNTIF($B$9:B129,B129)=1),"",COUNTIF($B$9:B129,B129)-1)</f>
        <v/>
      </c>
      <c r="D129" s="227" t="str">
        <f>IF(""=C129,"",IF(COUNTIF($D$9:D128,"")=2,LARGE('Start List'!C:C,A127),LARGE('Start List'!C:C,A128)))</f>
        <v/>
      </c>
      <c r="E129" s="79" t="str">
        <f>IF(C129="","",VLOOKUP(B129,Data!$AK$2:$AN$7,4,FALSE)&amp;C129)</f>
        <v/>
      </c>
      <c r="F129" s="80" t="str">
        <f>IF(COUNTIF(Data!$D$2:$D$97,'Men-Women'!$E129)=0,"",VLOOKUP('Men-Women'!$E129,Data!$D$2:$H$97,'Men-Women'!F$8,FALSE))</f>
        <v/>
      </c>
      <c r="G129" s="80" t="str">
        <f>IF(COUNTIF(Data!$D$2:$D$97,'Men-Women'!$E129)=0,"",VLOOKUP('Men-Women'!$E129,Data!$D$2:$H$97,'Men-Women'!G$8,FALSE))</f>
        <v/>
      </c>
      <c r="H129" s="80" t="str">
        <f>IF(COUNTIF(Data!$D$2:$D$97,'Men-Women'!$E129)=0,"",VLOOKUP('Men-Women'!$E129,Data!$D$2:$H$97,'Men-Women'!H$8,FALSE))</f>
        <v/>
      </c>
      <c r="I129" s="80" t="str">
        <f>IF(COUNTIF(Data!$D$2:$D$97,'Men-Women'!$E129)=0,"",VLOOKUP('Men-Women'!$E129,Data!$D$2:$H$97,'Men-Women'!I$8,FALSE))</f>
        <v/>
      </c>
      <c r="J129" s="77" t="str">
        <f>IF(B129&lt;&gt;B128,B129,IF($D129="","",INDEX('Start List'!$D$15:$D$139,MATCH($D129,'Start List'!$C$15:$C$139,0))))</f>
        <v/>
      </c>
      <c r="K129" s="77" t="str">
        <f>IF($D129="","",INDEX('Start List'!$E$15:$E$139,MATCH($D129,'Start List'!$C$15:$C$139,0)))</f>
        <v/>
      </c>
      <c r="L129" s="77" t="str">
        <f>IF($D129="","",INDEX('Start List'!$H$15:$H$139,MATCH($D129,'Start List'!$C$15:$C$139,0)))</f>
        <v/>
      </c>
      <c r="M129" s="79" t="str">
        <f>IF($D129="","",INDEX('Start List'!$F$15:$F$139,MATCH($D129,'Start List'!$C$15:$C$139,0)))</f>
        <v/>
      </c>
      <c r="N129" s="80" t="str">
        <f>IF($D129="","",INDEX('Start List'!K$15:K$139,MATCH($D129,'Start List'!$C$15:$C$139,0)))</f>
        <v/>
      </c>
      <c r="O129" s="80" t="str">
        <f>IF($D129="","",INDEX('Start List'!L$15:L$139,MATCH($D129,'Start List'!$C$15:$C$139,0)))</f>
        <v/>
      </c>
      <c r="P129" s="80" t="str">
        <f>IF($D129="","",INDEX('Start List'!M$15:M$139,MATCH($D129,'Start List'!$C$15:$C$139,0)))</f>
        <v/>
      </c>
      <c r="Q129" s="80" t="str">
        <f>IF($D129="","",INDEX('Start List'!N$15:N$139,MATCH($D129,'Start List'!$C$15:$C$139,0)))</f>
        <v/>
      </c>
      <c r="R129" s="80" t="str">
        <f>IF($D129="","",INDEX('Start List'!O$15:O$139,MATCH($D129,'Start List'!$C$15:$C$139,0)))</f>
        <v/>
      </c>
      <c r="S129" s="80" t="str">
        <f>IF($D129="","",INDEX('Start List'!P$15:P$139,MATCH($D129,'Start List'!$C$15:$C$139,0)))</f>
        <v/>
      </c>
      <c r="T129" s="80" t="str">
        <f>IF($D129="","",INDEX('Start List'!Q$15:Q$139,MATCH($D129,'Start List'!$C$15:$C$139,0)))</f>
        <v/>
      </c>
      <c r="U129" s="80" t="str">
        <f>IF($D129="","",INDEX('Start List'!R$15:R$139,MATCH($D129,'Start List'!$C$15:$C$139,0)))</f>
        <v/>
      </c>
      <c r="V129" s="80" t="str">
        <f>IF($D129="","",INDEX('Start List'!S$15:S$139,MATCH($D129,'Start List'!$C$15:$C$139,0)))</f>
        <v/>
      </c>
      <c r="W129" s="80" t="str">
        <f>IF($D129="","",INDEX('Start List'!T$15:T$139,MATCH($D129,'Start List'!$C$15:$C$139,0)))</f>
        <v/>
      </c>
      <c r="X129" s="80" t="str">
        <f>IF($D129="","",INDEX('Start List'!U$15:U$139,MATCH($D129,'Start List'!$C$15:$C$139,0)))</f>
        <v/>
      </c>
      <c r="Y129" s="80" t="str">
        <f>IF($D129="","",INDEX('Start List'!V$15:V$139,MATCH($D129,'Start List'!$C$15:$C$139,0)))</f>
        <v/>
      </c>
      <c r="Z129" s="80" t="str">
        <f>IF($D129="","",INDEX('Start List'!W$15:W$139,MATCH($D129,'Start List'!$C$15:$C$139,0)))</f>
        <v/>
      </c>
      <c r="AA129" s="80" t="str">
        <f>IF($D129="","",INDEX('Start List'!X$15:X$139,MATCH($D129,'Start List'!$C$15:$C$139,0)))</f>
        <v/>
      </c>
      <c r="AB129" s="80" t="str">
        <f>IF($D129="","",INDEX('Start List'!Y$15:Y$139,MATCH($D129,'Start List'!$C$15:$C$139,0)))</f>
        <v/>
      </c>
    </row>
    <row r="130" spans="1:28" ht="12.75" x14ac:dyDescent="0.2">
      <c r="A130" s="59" t="str">
        <f>IF(OR(COUNT('Start List'!A:A)+2='Men-Women'!A129,A129=""),"",'Men-Women'!A129+1)</f>
        <v/>
      </c>
      <c r="B130" s="228" t="str">
        <f>IF(A130="","",IF(COUNTIF($B$9:B129,$B$9)-1=COUNTIF('Start List'!C:C,"&gt;999"),'Start List'!$J$10,'Start List'!$J$9))</f>
        <v/>
      </c>
      <c r="C130" s="75" t="str">
        <f>IF(OR(B130="",COUNTIF($B$9:B130,B130)=1),"",COUNTIF($B$9:B130,B130)-1)</f>
        <v/>
      </c>
      <c r="D130" s="227" t="str">
        <f>IF(""=C130,"",IF(COUNTIF($D$9:D129,"")=2,LARGE('Start List'!C:C,A128),LARGE('Start List'!C:C,A129)))</f>
        <v/>
      </c>
      <c r="E130" s="79" t="str">
        <f>IF(C130="","",VLOOKUP(B130,Data!$AK$2:$AN$7,4,FALSE)&amp;C130)</f>
        <v/>
      </c>
      <c r="F130" s="80" t="str">
        <f>IF(COUNTIF(Data!$D$2:$D$97,'Men-Women'!$E130)=0,"",VLOOKUP('Men-Women'!$E130,Data!$D$2:$H$97,'Men-Women'!F$8,FALSE))</f>
        <v/>
      </c>
      <c r="G130" s="80" t="str">
        <f>IF(COUNTIF(Data!$D$2:$D$97,'Men-Women'!$E130)=0,"",VLOOKUP('Men-Women'!$E130,Data!$D$2:$H$97,'Men-Women'!G$8,FALSE))</f>
        <v/>
      </c>
      <c r="H130" s="80" t="str">
        <f>IF(COUNTIF(Data!$D$2:$D$97,'Men-Women'!$E130)=0,"",VLOOKUP('Men-Women'!$E130,Data!$D$2:$H$97,'Men-Women'!H$8,FALSE))</f>
        <v/>
      </c>
      <c r="I130" s="80" t="str">
        <f>IF(COUNTIF(Data!$D$2:$D$97,'Men-Women'!$E130)=0,"",VLOOKUP('Men-Women'!$E130,Data!$D$2:$H$97,'Men-Women'!I$8,FALSE))</f>
        <v/>
      </c>
      <c r="J130" s="77" t="str">
        <f>IF(B130&lt;&gt;B129,B130,IF($D130="","",INDEX('Start List'!$D$15:$D$139,MATCH($D130,'Start List'!$C$15:$C$139,0))))</f>
        <v/>
      </c>
      <c r="K130" s="77" t="str">
        <f>IF($D130="","",INDEX('Start List'!$E$15:$E$139,MATCH($D130,'Start List'!$C$15:$C$139,0)))</f>
        <v/>
      </c>
      <c r="L130" s="77" t="str">
        <f>IF($D130="","",INDEX('Start List'!$H$15:$H$139,MATCH($D130,'Start List'!$C$15:$C$139,0)))</f>
        <v/>
      </c>
      <c r="M130" s="79" t="str">
        <f>IF($D130="","",INDEX('Start List'!$F$15:$F$139,MATCH($D130,'Start List'!$C$15:$C$139,0)))</f>
        <v/>
      </c>
      <c r="N130" s="80" t="str">
        <f>IF($D130="","",INDEX('Start List'!K$15:K$139,MATCH($D130,'Start List'!$C$15:$C$139,0)))</f>
        <v/>
      </c>
      <c r="O130" s="80" t="str">
        <f>IF($D130="","",INDEX('Start List'!L$15:L$139,MATCH($D130,'Start List'!$C$15:$C$139,0)))</f>
        <v/>
      </c>
      <c r="P130" s="80" t="str">
        <f>IF($D130="","",INDEX('Start List'!M$15:M$139,MATCH($D130,'Start List'!$C$15:$C$139,0)))</f>
        <v/>
      </c>
      <c r="Q130" s="80" t="str">
        <f>IF($D130="","",INDEX('Start List'!N$15:N$139,MATCH($D130,'Start List'!$C$15:$C$139,0)))</f>
        <v/>
      </c>
      <c r="R130" s="80" t="str">
        <f>IF($D130="","",INDEX('Start List'!O$15:O$139,MATCH($D130,'Start List'!$C$15:$C$139,0)))</f>
        <v/>
      </c>
      <c r="S130" s="80" t="str">
        <f>IF($D130="","",INDEX('Start List'!P$15:P$139,MATCH($D130,'Start List'!$C$15:$C$139,0)))</f>
        <v/>
      </c>
      <c r="T130" s="80" t="str">
        <f>IF($D130="","",INDEX('Start List'!Q$15:Q$139,MATCH($D130,'Start List'!$C$15:$C$139,0)))</f>
        <v/>
      </c>
      <c r="U130" s="80" t="str">
        <f>IF($D130="","",INDEX('Start List'!R$15:R$139,MATCH($D130,'Start List'!$C$15:$C$139,0)))</f>
        <v/>
      </c>
      <c r="V130" s="80" t="str">
        <f>IF($D130="","",INDEX('Start List'!S$15:S$139,MATCH($D130,'Start List'!$C$15:$C$139,0)))</f>
        <v/>
      </c>
      <c r="W130" s="80" t="str">
        <f>IF($D130="","",INDEX('Start List'!T$15:T$139,MATCH($D130,'Start List'!$C$15:$C$139,0)))</f>
        <v/>
      </c>
      <c r="X130" s="80" t="str">
        <f>IF($D130="","",INDEX('Start List'!U$15:U$139,MATCH($D130,'Start List'!$C$15:$C$139,0)))</f>
        <v/>
      </c>
      <c r="Y130" s="80" t="str">
        <f>IF($D130="","",INDEX('Start List'!V$15:V$139,MATCH($D130,'Start List'!$C$15:$C$139,0)))</f>
        <v/>
      </c>
      <c r="Z130" s="80" t="str">
        <f>IF($D130="","",INDEX('Start List'!W$15:W$139,MATCH($D130,'Start List'!$C$15:$C$139,0)))</f>
        <v/>
      </c>
      <c r="AA130" s="80" t="str">
        <f>IF($D130="","",INDEX('Start List'!X$15:X$139,MATCH($D130,'Start List'!$C$15:$C$139,0)))</f>
        <v/>
      </c>
      <c r="AB130" s="80" t="str">
        <f>IF($D130="","",INDEX('Start List'!Y$15:Y$139,MATCH($D130,'Start List'!$C$15:$C$139,0)))</f>
        <v/>
      </c>
    </row>
    <row r="131" spans="1:28" ht="12.75" x14ac:dyDescent="0.2">
      <c r="A131" s="59" t="str">
        <f>IF(OR(COUNT('Start List'!A:A)+2='Men-Women'!A130,A130=""),"",'Men-Women'!A130+1)</f>
        <v/>
      </c>
      <c r="B131" s="228" t="str">
        <f>IF(A131="","",IF(COUNTIF($B$9:B130,$B$9)-1=COUNTIF('Start List'!C:C,"&gt;999"),'Start List'!$J$10,'Start List'!$J$9))</f>
        <v/>
      </c>
      <c r="C131" s="75" t="str">
        <f>IF(OR(B131="",COUNTIF($B$9:B131,B131)=1),"",COUNTIF($B$9:B131,B131)-1)</f>
        <v/>
      </c>
      <c r="D131" s="227" t="str">
        <f>IF(""=C131,"",IF(COUNTIF($D$9:D130,"")=2,LARGE('Start List'!C:C,A129),LARGE('Start List'!C:C,A130)))</f>
        <v/>
      </c>
      <c r="E131" s="79" t="str">
        <f>IF(C131="","",VLOOKUP(B131,Data!$AK$2:$AN$7,4,FALSE)&amp;C131)</f>
        <v/>
      </c>
      <c r="F131" s="80" t="str">
        <f>IF(COUNTIF(Data!$D$2:$D$97,'Men-Women'!$E131)=0,"",VLOOKUP('Men-Women'!$E131,Data!$D$2:$H$97,'Men-Women'!F$8,FALSE))</f>
        <v/>
      </c>
      <c r="G131" s="80" t="str">
        <f>IF(COUNTIF(Data!$D$2:$D$97,'Men-Women'!$E131)=0,"",VLOOKUP('Men-Women'!$E131,Data!$D$2:$H$97,'Men-Women'!G$8,FALSE))</f>
        <v/>
      </c>
      <c r="H131" s="80" t="str">
        <f>IF(COUNTIF(Data!$D$2:$D$97,'Men-Women'!$E131)=0,"",VLOOKUP('Men-Women'!$E131,Data!$D$2:$H$97,'Men-Women'!H$8,FALSE))</f>
        <v/>
      </c>
      <c r="I131" s="80" t="str">
        <f>IF(COUNTIF(Data!$D$2:$D$97,'Men-Women'!$E131)=0,"",VLOOKUP('Men-Women'!$E131,Data!$D$2:$H$97,'Men-Women'!I$8,FALSE))</f>
        <v/>
      </c>
      <c r="J131" s="77" t="str">
        <f>IF(B131&lt;&gt;B130,B131,IF($D131="","",INDEX('Start List'!$D$15:$D$139,MATCH($D131,'Start List'!$C$15:$C$139,0))))</f>
        <v/>
      </c>
      <c r="K131" s="77" t="str">
        <f>IF($D131="","",INDEX('Start List'!$E$15:$E$139,MATCH($D131,'Start List'!$C$15:$C$139,0)))</f>
        <v/>
      </c>
      <c r="L131" s="77" t="str">
        <f>IF($D131="","",INDEX('Start List'!$H$15:$H$139,MATCH($D131,'Start List'!$C$15:$C$139,0)))</f>
        <v/>
      </c>
      <c r="M131" s="79" t="str">
        <f>IF($D131="","",INDEX('Start List'!$F$15:$F$139,MATCH($D131,'Start List'!$C$15:$C$139,0)))</f>
        <v/>
      </c>
      <c r="N131" s="80" t="str">
        <f>IF($D131="","",INDEX('Start List'!K$15:K$139,MATCH($D131,'Start List'!$C$15:$C$139,0)))</f>
        <v/>
      </c>
      <c r="O131" s="80" t="str">
        <f>IF($D131="","",INDEX('Start List'!L$15:L$139,MATCH($D131,'Start List'!$C$15:$C$139,0)))</f>
        <v/>
      </c>
      <c r="P131" s="80" t="str">
        <f>IF($D131="","",INDEX('Start List'!M$15:M$139,MATCH($D131,'Start List'!$C$15:$C$139,0)))</f>
        <v/>
      </c>
      <c r="Q131" s="80" t="str">
        <f>IF($D131="","",INDEX('Start List'!N$15:N$139,MATCH($D131,'Start List'!$C$15:$C$139,0)))</f>
        <v/>
      </c>
      <c r="R131" s="80" t="str">
        <f>IF($D131="","",INDEX('Start List'!O$15:O$139,MATCH($D131,'Start List'!$C$15:$C$139,0)))</f>
        <v/>
      </c>
      <c r="S131" s="80" t="str">
        <f>IF($D131="","",INDEX('Start List'!P$15:P$139,MATCH($D131,'Start List'!$C$15:$C$139,0)))</f>
        <v/>
      </c>
      <c r="T131" s="80" t="str">
        <f>IF($D131="","",INDEX('Start List'!Q$15:Q$139,MATCH($D131,'Start List'!$C$15:$C$139,0)))</f>
        <v/>
      </c>
      <c r="U131" s="80" t="str">
        <f>IF($D131="","",INDEX('Start List'!R$15:R$139,MATCH($D131,'Start List'!$C$15:$C$139,0)))</f>
        <v/>
      </c>
      <c r="V131" s="80" t="str">
        <f>IF($D131="","",INDEX('Start List'!S$15:S$139,MATCH($D131,'Start List'!$C$15:$C$139,0)))</f>
        <v/>
      </c>
      <c r="W131" s="80" t="str">
        <f>IF($D131="","",INDEX('Start List'!T$15:T$139,MATCH($D131,'Start List'!$C$15:$C$139,0)))</f>
        <v/>
      </c>
      <c r="X131" s="80" t="str">
        <f>IF($D131="","",INDEX('Start List'!U$15:U$139,MATCH($D131,'Start List'!$C$15:$C$139,0)))</f>
        <v/>
      </c>
      <c r="Y131" s="80" t="str">
        <f>IF($D131="","",INDEX('Start List'!V$15:V$139,MATCH($D131,'Start List'!$C$15:$C$139,0)))</f>
        <v/>
      </c>
      <c r="Z131" s="80" t="str">
        <f>IF($D131="","",INDEX('Start List'!W$15:W$139,MATCH($D131,'Start List'!$C$15:$C$139,0)))</f>
        <v/>
      </c>
      <c r="AA131" s="80" t="str">
        <f>IF($D131="","",INDEX('Start List'!X$15:X$139,MATCH($D131,'Start List'!$C$15:$C$139,0)))</f>
        <v/>
      </c>
      <c r="AB131" s="80" t="str">
        <f>IF($D131="","",INDEX('Start List'!Y$15:Y$139,MATCH($D131,'Start List'!$C$15:$C$139,0)))</f>
        <v/>
      </c>
    </row>
    <row r="132" spans="1:28" ht="12.75" x14ac:dyDescent="0.2">
      <c r="A132" s="59" t="str">
        <f>IF(OR(COUNT('Start List'!A:A)+2='Men-Women'!A131,A131=""),"",'Men-Women'!A131+1)</f>
        <v/>
      </c>
      <c r="B132" s="228" t="str">
        <f>IF(A132="","",IF(COUNTIF($B$9:B131,$B$9)-1=COUNTIF('Start List'!C:C,"&gt;999"),'Start List'!$J$10,'Start List'!$J$9))</f>
        <v/>
      </c>
      <c r="C132" s="75" t="str">
        <f>IF(OR(B132="",COUNTIF($B$9:B132,B132)=1),"",COUNTIF($B$9:B132,B132)-1)</f>
        <v/>
      </c>
      <c r="D132" s="227" t="str">
        <f>IF(""=C132,"",IF(COUNTIF($D$9:D131,"")=2,LARGE('Start List'!C:C,A130),LARGE('Start List'!C:C,A131)))</f>
        <v/>
      </c>
      <c r="E132" s="79" t="str">
        <f>IF(C132="","",VLOOKUP(B132,Data!$AK$2:$AN$7,4,FALSE)&amp;C132)</f>
        <v/>
      </c>
      <c r="F132" s="80" t="str">
        <f>IF(COUNTIF(Data!$D$2:$D$97,'Men-Women'!$E132)=0,"",VLOOKUP('Men-Women'!$E132,Data!$D$2:$H$97,'Men-Women'!F$8,FALSE))</f>
        <v/>
      </c>
      <c r="G132" s="80" t="str">
        <f>IF(COUNTIF(Data!$D$2:$D$97,'Men-Women'!$E132)=0,"",VLOOKUP('Men-Women'!$E132,Data!$D$2:$H$97,'Men-Women'!G$8,FALSE))</f>
        <v/>
      </c>
      <c r="H132" s="80" t="str">
        <f>IF(COUNTIF(Data!$D$2:$D$97,'Men-Women'!$E132)=0,"",VLOOKUP('Men-Women'!$E132,Data!$D$2:$H$97,'Men-Women'!H$8,FALSE))</f>
        <v/>
      </c>
      <c r="I132" s="80" t="str">
        <f>IF(COUNTIF(Data!$D$2:$D$97,'Men-Women'!$E132)=0,"",VLOOKUP('Men-Women'!$E132,Data!$D$2:$H$97,'Men-Women'!I$8,FALSE))</f>
        <v/>
      </c>
      <c r="J132" s="77" t="str">
        <f>IF(B132&lt;&gt;B131,B132,IF($D132="","",INDEX('Start List'!$D$15:$D$139,MATCH($D132,'Start List'!$C$15:$C$139,0))))</f>
        <v/>
      </c>
      <c r="K132" s="77" t="str">
        <f>IF($D132="","",INDEX('Start List'!$E$15:$E$139,MATCH($D132,'Start List'!$C$15:$C$139,0)))</f>
        <v/>
      </c>
      <c r="L132" s="77" t="str">
        <f>IF($D132="","",INDEX('Start List'!$H$15:$H$139,MATCH($D132,'Start List'!$C$15:$C$139,0)))</f>
        <v/>
      </c>
      <c r="M132" s="79" t="str">
        <f>IF($D132="","",INDEX('Start List'!$F$15:$F$139,MATCH($D132,'Start List'!$C$15:$C$139,0)))</f>
        <v/>
      </c>
      <c r="N132" s="80" t="str">
        <f>IF($D132="","",INDEX('Start List'!K$15:K$139,MATCH($D132,'Start List'!$C$15:$C$139,0)))</f>
        <v/>
      </c>
      <c r="O132" s="80" t="str">
        <f>IF($D132="","",INDEX('Start List'!L$15:L$139,MATCH($D132,'Start List'!$C$15:$C$139,0)))</f>
        <v/>
      </c>
      <c r="P132" s="80" t="str">
        <f>IF($D132="","",INDEX('Start List'!M$15:M$139,MATCH($D132,'Start List'!$C$15:$C$139,0)))</f>
        <v/>
      </c>
      <c r="Q132" s="80" t="str">
        <f>IF($D132="","",INDEX('Start List'!N$15:N$139,MATCH($D132,'Start List'!$C$15:$C$139,0)))</f>
        <v/>
      </c>
      <c r="R132" s="80" t="str">
        <f>IF($D132="","",INDEX('Start List'!O$15:O$139,MATCH($D132,'Start List'!$C$15:$C$139,0)))</f>
        <v/>
      </c>
      <c r="S132" s="80" t="str">
        <f>IF($D132="","",INDEX('Start List'!P$15:P$139,MATCH($D132,'Start List'!$C$15:$C$139,0)))</f>
        <v/>
      </c>
      <c r="T132" s="80" t="str">
        <f>IF($D132="","",INDEX('Start List'!Q$15:Q$139,MATCH($D132,'Start List'!$C$15:$C$139,0)))</f>
        <v/>
      </c>
      <c r="U132" s="80" t="str">
        <f>IF($D132="","",INDEX('Start List'!R$15:R$139,MATCH($D132,'Start List'!$C$15:$C$139,0)))</f>
        <v/>
      </c>
      <c r="V132" s="80" t="str">
        <f>IF($D132="","",INDEX('Start List'!S$15:S$139,MATCH($D132,'Start List'!$C$15:$C$139,0)))</f>
        <v/>
      </c>
      <c r="W132" s="80" t="str">
        <f>IF($D132="","",INDEX('Start List'!T$15:T$139,MATCH($D132,'Start List'!$C$15:$C$139,0)))</f>
        <v/>
      </c>
      <c r="X132" s="80" t="str">
        <f>IF($D132="","",INDEX('Start List'!U$15:U$139,MATCH($D132,'Start List'!$C$15:$C$139,0)))</f>
        <v/>
      </c>
      <c r="Y132" s="80" t="str">
        <f>IF($D132="","",INDEX('Start List'!V$15:V$139,MATCH($D132,'Start List'!$C$15:$C$139,0)))</f>
        <v/>
      </c>
      <c r="Z132" s="80" t="str">
        <f>IF($D132="","",INDEX('Start List'!W$15:W$139,MATCH($D132,'Start List'!$C$15:$C$139,0)))</f>
        <v/>
      </c>
      <c r="AA132" s="80" t="str">
        <f>IF($D132="","",INDEX('Start List'!X$15:X$139,MATCH($D132,'Start List'!$C$15:$C$139,0)))</f>
        <v/>
      </c>
      <c r="AB132" s="80" t="str">
        <f>IF($D132="","",INDEX('Start List'!Y$15:Y$139,MATCH($D132,'Start List'!$C$15:$C$139,0)))</f>
        <v/>
      </c>
    </row>
    <row r="133" spans="1:28" ht="12.75" x14ac:dyDescent="0.2">
      <c r="A133" s="59" t="str">
        <f>IF(OR(COUNT('Start List'!A:A)+2='Men-Women'!A132,A132=""),"",'Men-Women'!A132+1)</f>
        <v/>
      </c>
      <c r="B133" s="228" t="str">
        <f>IF(A133="","",IF(COUNTIF($B$9:B132,$B$9)-1=COUNTIF('Start List'!C:C,"&gt;999"),'Start List'!$J$10,'Start List'!$J$9))</f>
        <v/>
      </c>
      <c r="C133" s="75" t="str">
        <f>IF(OR(B133="",COUNTIF($B$9:B133,B133)=1),"",COUNTIF($B$9:B133,B133)-1)</f>
        <v/>
      </c>
      <c r="D133" s="227" t="str">
        <f>IF(""=C133,"",IF(COUNTIF($D$9:D132,"")=2,LARGE('Start List'!C:C,A131),LARGE('Start List'!C:C,A132)))</f>
        <v/>
      </c>
      <c r="E133" s="79" t="str">
        <f>IF(C133="","",VLOOKUP(B133,Data!$AK$2:$AN$7,4,FALSE)&amp;C133)</f>
        <v/>
      </c>
      <c r="F133" s="80" t="str">
        <f>IF(COUNTIF(Data!$D$2:$D$97,'Men-Women'!$E133)=0,"",VLOOKUP('Men-Women'!$E133,Data!$D$2:$H$97,'Men-Women'!F$8,FALSE))</f>
        <v/>
      </c>
      <c r="G133" s="80" t="str">
        <f>IF(COUNTIF(Data!$D$2:$D$97,'Men-Women'!$E133)=0,"",VLOOKUP('Men-Women'!$E133,Data!$D$2:$H$97,'Men-Women'!G$8,FALSE))</f>
        <v/>
      </c>
      <c r="H133" s="80" t="str">
        <f>IF(COUNTIF(Data!$D$2:$D$97,'Men-Women'!$E133)=0,"",VLOOKUP('Men-Women'!$E133,Data!$D$2:$H$97,'Men-Women'!H$8,FALSE))</f>
        <v/>
      </c>
      <c r="I133" s="80" t="str">
        <f>IF(COUNTIF(Data!$D$2:$D$97,'Men-Women'!$E133)=0,"",VLOOKUP('Men-Women'!$E133,Data!$D$2:$H$97,'Men-Women'!I$8,FALSE))</f>
        <v/>
      </c>
      <c r="J133" s="77" t="str">
        <f>IF(B133&lt;&gt;B132,B133,IF($D133="","",INDEX('Start List'!$D$15:$D$139,MATCH($D133,'Start List'!$C$15:$C$139,0))))</f>
        <v/>
      </c>
      <c r="K133" s="77" t="str">
        <f>IF($D133="","",INDEX('Start List'!$E$15:$E$139,MATCH($D133,'Start List'!$C$15:$C$139,0)))</f>
        <v/>
      </c>
      <c r="L133" s="77" t="str">
        <f>IF($D133="","",INDEX('Start List'!$H$15:$H$139,MATCH($D133,'Start List'!$C$15:$C$139,0)))</f>
        <v/>
      </c>
      <c r="M133" s="79" t="str">
        <f>IF($D133="","",INDEX('Start List'!$F$15:$F$139,MATCH($D133,'Start List'!$C$15:$C$139,0)))</f>
        <v/>
      </c>
      <c r="N133" s="80" t="str">
        <f>IF($D133="","",INDEX('Start List'!K$15:K$139,MATCH($D133,'Start List'!$C$15:$C$139,0)))</f>
        <v/>
      </c>
      <c r="O133" s="80" t="str">
        <f>IF($D133="","",INDEX('Start List'!L$15:L$139,MATCH($D133,'Start List'!$C$15:$C$139,0)))</f>
        <v/>
      </c>
      <c r="P133" s="80" t="str">
        <f>IF($D133="","",INDEX('Start List'!M$15:M$139,MATCH($D133,'Start List'!$C$15:$C$139,0)))</f>
        <v/>
      </c>
      <c r="Q133" s="80" t="str">
        <f>IF($D133="","",INDEX('Start List'!N$15:N$139,MATCH($D133,'Start List'!$C$15:$C$139,0)))</f>
        <v/>
      </c>
      <c r="R133" s="80" t="str">
        <f>IF($D133="","",INDEX('Start List'!O$15:O$139,MATCH($D133,'Start List'!$C$15:$C$139,0)))</f>
        <v/>
      </c>
      <c r="S133" s="80" t="str">
        <f>IF($D133="","",INDEX('Start List'!P$15:P$139,MATCH($D133,'Start List'!$C$15:$C$139,0)))</f>
        <v/>
      </c>
      <c r="T133" s="80" t="str">
        <f>IF($D133="","",INDEX('Start List'!Q$15:Q$139,MATCH($D133,'Start List'!$C$15:$C$139,0)))</f>
        <v/>
      </c>
      <c r="U133" s="80" t="str">
        <f>IF($D133="","",INDEX('Start List'!R$15:R$139,MATCH($D133,'Start List'!$C$15:$C$139,0)))</f>
        <v/>
      </c>
      <c r="V133" s="80" t="str">
        <f>IF($D133="","",INDEX('Start List'!S$15:S$139,MATCH($D133,'Start List'!$C$15:$C$139,0)))</f>
        <v/>
      </c>
      <c r="W133" s="80" t="str">
        <f>IF($D133="","",INDEX('Start List'!T$15:T$139,MATCH($D133,'Start List'!$C$15:$C$139,0)))</f>
        <v/>
      </c>
      <c r="X133" s="80" t="str">
        <f>IF($D133="","",INDEX('Start List'!U$15:U$139,MATCH($D133,'Start List'!$C$15:$C$139,0)))</f>
        <v/>
      </c>
      <c r="Y133" s="80" t="str">
        <f>IF($D133="","",INDEX('Start List'!V$15:V$139,MATCH($D133,'Start List'!$C$15:$C$139,0)))</f>
        <v/>
      </c>
      <c r="Z133" s="80" t="str">
        <f>IF($D133="","",INDEX('Start List'!W$15:W$139,MATCH($D133,'Start List'!$C$15:$C$139,0)))</f>
        <v/>
      </c>
      <c r="AA133" s="80" t="str">
        <f>IF($D133="","",INDEX('Start List'!X$15:X$139,MATCH($D133,'Start List'!$C$15:$C$139,0)))</f>
        <v/>
      </c>
      <c r="AB133" s="80" t="str">
        <f>IF($D133="","",INDEX('Start List'!Y$15:Y$139,MATCH($D133,'Start List'!$C$15:$C$139,0)))</f>
        <v/>
      </c>
    </row>
    <row r="134" spans="1:28" ht="12.75" x14ac:dyDescent="0.2">
      <c r="A134" s="59" t="str">
        <f>IF(OR(COUNT('Start List'!A:A)+2='Men-Women'!A133,A133=""),"",'Men-Women'!A133+1)</f>
        <v/>
      </c>
      <c r="B134" s="228" t="str">
        <f>IF(A134="","",IF(COUNTIF($B$9:B133,$B$9)-1=COUNTIF('Start List'!C:C,"&gt;999"),'Start List'!$J$10,'Start List'!$J$9))</f>
        <v/>
      </c>
      <c r="C134" s="75" t="str">
        <f>IF(OR(B134="",COUNTIF($B$9:B134,B134)=1),"",COUNTIF($B$9:B134,B134)-1)</f>
        <v/>
      </c>
      <c r="D134" s="227" t="str">
        <f>IF(""=C134,"",IF(COUNTIF($D$9:D133,"")=2,LARGE('Start List'!C:C,A132),LARGE('Start List'!C:C,A133)))</f>
        <v/>
      </c>
      <c r="E134" s="79" t="str">
        <f>IF(C134="","",VLOOKUP(B134,Data!$AK$2:$AN$7,4,FALSE)&amp;C134)</f>
        <v/>
      </c>
      <c r="F134" s="80" t="str">
        <f>IF(COUNTIF(Data!$D$2:$D$97,'Men-Women'!$E134)=0,"",VLOOKUP('Men-Women'!$E134,Data!$D$2:$H$97,'Men-Women'!F$8,FALSE))</f>
        <v/>
      </c>
      <c r="G134" s="80" t="str">
        <f>IF(COUNTIF(Data!$D$2:$D$97,'Men-Women'!$E134)=0,"",VLOOKUP('Men-Women'!$E134,Data!$D$2:$H$97,'Men-Women'!G$8,FALSE))</f>
        <v/>
      </c>
      <c r="H134" s="80" t="str">
        <f>IF(COUNTIF(Data!$D$2:$D$97,'Men-Women'!$E134)=0,"",VLOOKUP('Men-Women'!$E134,Data!$D$2:$H$97,'Men-Women'!H$8,FALSE))</f>
        <v/>
      </c>
      <c r="I134" s="80" t="str">
        <f>IF(COUNTIF(Data!$D$2:$D$97,'Men-Women'!$E134)=0,"",VLOOKUP('Men-Women'!$E134,Data!$D$2:$H$97,'Men-Women'!I$8,FALSE))</f>
        <v/>
      </c>
      <c r="J134" s="77" t="str">
        <f>IF(B134&lt;&gt;B133,B134,IF($D134="","",INDEX('Start List'!$D$15:$D$139,MATCH($D134,'Start List'!$C$15:$C$139,0))))</f>
        <v/>
      </c>
      <c r="K134" s="77" t="str">
        <f>IF($D134="","",INDEX('Start List'!$E$15:$E$139,MATCH($D134,'Start List'!$C$15:$C$139,0)))</f>
        <v/>
      </c>
      <c r="L134" s="77" t="str">
        <f>IF($D134="","",INDEX('Start List'!$H$15:$H$139,MATCH($D134,'Start List'!$C$15:$C$139,0)))</f>
        <v/>
      </c>
      <c r="M134" s="79" t="str">
        <f>IF($D134="","",INDEX('Start List'!$F$15:$F$139,MATCH($D134,'Start List'!$C$15:$C$139,0)))</f>
        <v/>
      </c>
      <c r="N134" s="80" t="str">
        <f>IF($D134="","",INDEX('Start List'!K$15:K$139,MATCH($D134,'Start List'!$C$15:$C$139,0)))</f>
        <v/>
      </c>
      <c r="O134" s="80" t="str">
        <f>IF($D134="","",INDEX('Start List'!L$15:L$139,MATCH($D134,'Start List'!$C$15:$C$139,0)))</f>
        <v/>
      </c>
      <c r="P134" s="80" t="str">
        <f>IF($D134="","",INDEX('Start List'!M$15:M$139,MATCH($D134,'Start List'!$C$15:$C$139,0)))</f>
        <v/>
      </c>
      <c r="Q134" s="80" t="str">
        <f>IF($D134="","",INDEX('Start List'!N$15:N$139,MATCH($D134,'Start List'!$C$15:$C$139,0)))</f>
        <v/>
      </c>
      <c r="R134" s="80" t="str">
        <f>IF($D134="","",INDEX('Start List'!O$15:O$139,MATCH($D134,'Start List'!$C$15:$C$139,0)))</f>
        <v/>
      </c>
      <c r="S134" s="80" t="str">
        <f>IF($D134="","",INDEX('Start List'!P$15:P$139,MATCH($D134,'Start List'!$C$15:$C$139,0)))</f>
        <v/>
      </c>
      <c r="T134" s="80" t="str">
        <f>IF($D134="","",INDEX('Start List'!Q$15:Q$139,MATCH($D134,'Start List'!$C$15:$C$139,0)))</f>
        <v/>
      </c>
      <c r="U134" s="80" t="str">
        <f>IF($D134="","",INDEX('Start List'!R$15:R$139,MATCH($D134,'Start List'!$C$15:$C$139,0)))</f>
        <v/>
      </c>
      <c r="V134" s="80" t="str">
        <f>IF($D134="","",INDEX('Start List'!S$15:S$139,MATCH($D134,'Start List'!$C$15:$C$139,0)))</f>
        <v/>
      </c>
      <c r="W134" s="80" t="str">
        <f>IF($D134="","",INDEX('Start List'!T$15:T$139,MATCH($D134,'Start List'!$C$15:$C$139,0)))</f>
        <v/>
      </c>
      <c r="X134" s="80" t="str">
        <f>IF($D134="","",INDEX('Start List'!U$15:U$139,MATCH($D134,'Start List'!$C$15:$C$139,0)))</f>
        <v/>
      </c>
      <c r="Y134" s="80" t="str">
        <f>IF($D134="","",INDEX('Start List'!V$15:V$139,MATCH($D134,'Start List'!$C$15:$C$139,0)))</f>
        <v/>
      </c>
      <c r="Z134" s="80" t="str">
        <f>IF($D134="","",INDEX('Start List'!W$15:W$139,MATCH($D134,'Start List'!$C$15:$C$139,0)))</f>
        <v/>
      </c>
      <c r="AA134" s="80" t="str">
        <f>IF($D134="","",INDEX('Start List'!X$15:X$139,MATCH($D134,'Start List'!$C$15:$C$139,0)))</f>
        <v/>
      </c>
      <c r="AB134" s="80" t="str">
        <f>IF($D134="","",INDEX('Start List'!Y$15:Y$139,MATCH($D134,'Start List'!$C$15:$C$139,0)))</f>
        <v/>
      </c>
    </row>
    <row r="135" spans="1:28" ht="12.75" x14ac:dyDescent="0.2">
      <c r="A135" s="59" t="str">
        <f>IF(OR(COUNT('Start List'!A:A)+2='Men-Women'!A134,A134=""),"",'Men-Women'!A134+1)</f>
        <v/>
      </c>
      <c r="B135" s="228" t="str">
        <f>IF(A135="","",IF(COUNTIF($B$9:B134,$B$9)-1=COUNTIF('Start List'!C:C,"&gt;999"),'Start List'!$J$10,'Start List'!$J$9))</f>
        <v/>
      </c>
      <c r="C135" s="75" t="str">
        <f>IF(OR(B135="",COUNTIF($B$9:B135,B135)=1),"",COUNTIF($B$9:B135,B135)-1)</f>
        <v/>
      </c>
      <c r="D135" s="227" t="str">
        <f>IF(""=C135,"",IF(COUNTIF($D$9:D134,"")=2,LARGE('Start List'!C:C,A133),LARGE('Start List'!C:C,A134)))</f>
        <v/>
      </c>
      <c r="E135" s="79" t="str">
        <f>IF(C135="","",VLOOKUP(B135,Data!$AK$2:$AN$7,4,FALSE)&amp;C135)</f>
        <v/>
      </c>
      <c r="F135" s="80" t="str">
        <f>IF(COUNTIF(Data!$D$2:$D$97,'Men-Women'!$E135)=0,"",VLOOKUP('Men-Women'!$E135,Data!$D$2:$H$97,'Men-Women'!F$8,FALSE))</f>
        <v/>
      </c>
      <c r="G135" s="80" t="str">
        <f>IF(COUNTIF(Data!$D$2:$D$97,'Men-Women'!$E135)=0,"",VLOOKUP('Men-Women'!$E135,Data!$D$2:$H$97,'Men-Women'!G$8,FALSE))</f>
        <v/>
      </c>
      <c r="H135" s="80" t="str">
        <f>IF(COUNTIF(Data!$D$2:$D$97,'Men-Women'!$E135)=0,"",VLOOKUP('Men-Women'!$E135,Data!$D$2:$H$97,'Men-Women'!H$8,FALSE))</f>
        <v/>
      </c>
      <c r="I135" s="80" t="str">
        <f>IF(COUNTIF(Data!$D$2:$D$97,'Men-Women'!$E135)=0,"",VLOOKUP('Men-Women'!$E135,Data!$D$2:$H$97,'Men-Women'!I$8,FALSE))</f>
        <v/>
      </c>
      <c r="J135" s="77" t="str">
        <f>IF(B135&lt;&gt;B134,B135,IF($D135="","",INDEX('Start List'!$D$15:$D$139,MATCH($D135,'Start List'!$C$15:$C$139,0))))</f>
        <v/>
      </c>
      <c r="K135" s="77" t="str">
        <f>IF($D135="","",INDEX('Start List'!$E$15:$E$139,MATCH($D135,'Start List'!$C$15:$C$139,0)))</f>
        <v/>
      </c>
      <c r="L135" s="77" t="str">
        <f>IF($D135="","",INDEX('Start List'!$H$15:$H$139,MATCH($D135,'Start List'!$C$15:$C$139,0)))</f>
        <v/>
      </c>
      <c r="M135" s="79" t="str">
        <f>IF($D135="","",INDEX('Start List'!$F$15:$F$139,MATCH($D135,'Start List'!$C$15:$C$139,0)))</f>
        <v/>
      </c>
      <c r="N135" s="80" t="str">
        <f>IF($D135="","",INDEX('Start List'!K$15:K$139,MATCH($D135,'Start List'!$C$15:$C$139,0)))</f>
        <v/>
      </c>
      <c r="O135" s="80" t="str">
        <f>IF($D135="","",INDEX('Start List'!L$15:L$139,MATCH($D135,'Start List'!$C$15:$C$139,0)))</f>
        <v/>
      </c>
      <c r="P135" s="80" t="str">
        <f>IF($D135="","",INDEX('Start List'!M$15:M$139,MATCH($D135,'Start List'!$C$15:$C$139,0)))</f>
        <v/>
      </c>
      <c r="Q135" s="80" t="str">
        <f>IF($D135="","",INDEX('Start List'!N$15:N$139,MATCH($D135,'Start List'!$C$15:$C$139,0)))</f>
        <v/>
      </c>
      <c r="R135" s="80" t="str">
        <f>IF($D135="","",INDEX('Start List'!O$15:O$139,MATCH($D135,'Start List'!$C$15:$C$139,0)))</f>
        <v/>
      </c>
      <c r="S135" s="80" t="str">
        <f>IF($D135="","",INDEX('Start List'!P$15:P$139,MATCH($D135,'Start List'!$C$15:$C$139,0)))</f>
        <v/>
      </c>
      <c r="T135" s="80" t="str">
        <f>IF($D135="","",INDEX('Start List'!Q$15:Q$139,MATCH($D135,'Start List'!$C$15:$C$139,0)))</f>
        <v/>
      </c>
      <c r="U135" s="80" t="str">
        <f>IF($D135="","",INDEX('Start List'!R$15:R$139,MATCH($D135,'Start List'!$C$15:$C$139,0)))</f>
        <v/>
      </c>
      <c r="V135" s="80" t="str">
        <f>IF($D135="","",INDEX('Start List'!S$15:S$139,MATCH($D135,'Start List'!$C$15:$C$139,0)))</f>
        <v/>
      </c>
      <c r="W135" s="80" t="str">
        <f>IF($D135="","",INDEX('Start List'!T$15:T$139,MATCH($D135,'Start List'!$C$15:$C$139,0)))</f>
        <v/>
      </c>
      <c r="X135" s="80" t="str">
        <f>IF($D135="","",INDEX('Start List'!U$15:U$139,MATCH($D135,'Start List'!$C$15:$C$139,0)))</f>
        <v/>
      </c>
      <c r="Y135" s="80" t="str">
        <f>IF($D135="","",INDEX('Start List'!V$15:V$139,MATCH($D135,'Start List'!$C$15:$C$139,0)))</f>
        <v/>
      </c>
      <c r="Z135" s="80" t="str">
        <f>IF($D135="","",INDEX('Start List'!W$15:W$139,MATCH($D135,'Start List'!$C$15:$C$139,0)))</f>
        <v/>
      </c>
      <c r="AA135" s="80" t="str">
        <f>IF($D135="","",INDEX('Start List'!X$15:X$139,MATCH($D135,'Start List'!$C$15:$C$139,0)))</f>
        <v/>
      </c>
      <c r="AB135" s="80" t="str">
        <f>IF($D135="","",INDEX('Start List'!Y$15:Y$139,MATCH($D135,'Start List'!$C$15:$C$139,0)))</f>
        <v/>
      </c>
    </row>
    <row r="136" spans="1:28" ht="12.75" x14ac:dyDescent="0.2">
      <c r="A136" s="59" t="str">
        <f>IF(OR(COUNT('Start List'!A:A)+2='Men-Women'!A135,A135=""),"",'Men-Women'!A135+1)</f>
        <v/>
      </c>
      <c r="B136" s="228" t="str">
        <f>IF(A136="","",IF(COUNTIF($B$9:B135,$B$9)-1=COUNTIF('Start List'!C:C,"&gt;999"),'Start List'!$J$10,'Start List'!$J$9))</f>
        <v/>
      </c>
      <c r="C136" s="75" t="str">
        <f>IF(OR(B136="",COUNTIF($B$9:B136,B136)=1),"",COUNTIF($B$9:B136,B136)-1)</f>
        <v/>
      </c>
      <c r="D136" s="227" t="str">
        <f>IF(""=C136,"",IF(COUNTIF($D$9:D135,"")=2,LARGE('Start List'!C:C,A134),LARGE('Start List'!C:C,A135)))</f>
        <v/>
      </c>
      <c r="E136" s="79" t="str">
        <f>IF(C136="","",VLOOKUP(B136,Data!$AK$2:$AN$7,4,FALSE)&amp;C136)</f>
        <v/>
      </c>
      <c r="F136" s="80" t="str">
        <f>IF(COUNTIF(Data!$D$2:$D$97,'Men-Women'!$E136)=0,"",VLOOKUP('Men-Women'!$E136,Data!$D$2:$H$97,'Men-Women'!F$8,FALSE))</f>
        <v/>
      </c>
      <c r="G136" s="80" t="str">
        <f>IF(COUNTIF(Data!$D$2:$D$97,'Men-Women'!$E136)=0,"",VLOOKUP('Men-Women'!$E136,Data!$D$2:$H$97,'Men-Women'!G$8,FALSE))</f>
        <v/>
      </c>
      <c r="H136" s="80" t="str">
        <f>IF(COUNTIF(Data!$D$2:$D$97,'Men-Women'!$E136)=0,"",VLOOKUP('Men-Women'!$E136,Data!$D$2:$H$97,'Men-Women'!H$8,FALSE))</f>
        <v/>
      </c>
      <c r="I136" s="80" t="str">
        <f>IF(COUNTIF(Data!$D$2:$D$97,'Men-Women'!$E136)=0,"",VLOOKUP('Men-Women'!$E136,Data!$D$2:$H$97,'Men-Women'!I$8,FALSE))</f>
        <v/>
      </c>
      <c r="J136" s="77" t="str">
        <f>IF(B136&lt;&gt;B135,B136,IF($D136="","",INDEX('Start List'!$D$15:$D$139,MATCH($D136,'Start List'!$C$15:$C$139,0))))</f>
        <v/>
      </c>
      <c r="K136" s="77" t="str">
        <f>IF($D136="","",INDEX('Start List'!$E$15:$E$139,MATCH($D136,'Start List'!$C$15:$C$139,0)))</f>
        <v/>
      </c>
      <c r="L136" s="77" t="str">
        <f>IF($D136="","",INDEX('Start List'!$H$15:$H$139,MATCH($D136,'Start List'!$C$15:$C$139,0)))</f>
        <v/>
      </c>
      <c r="M136" s="79" t="str">
        <f>IF($D136="","",INDEX('Start List'!$F$15:$F$139,MATCH($D136,'Start List'!$C$15:$C$139,0)))</f>
        <v/>
      </c>
      <c r="N136" s="80" t="str">
        <f>IF($D136="","",INDEX('Start List'!K$15:K$139,MATCH($D136,'Start List'!$C$15:$C$139,0)))</f>
        <v/>
      </c>
      <c r="O136" s="80" t="str">
        <f>IF($D136="","",INDEX('Start List'!L$15:L$139,MATCH($D136,'Start List'!$C$15:$C$139,0)))</f>
        <v/>
      </c>
      <c r="P136" s="80" t="str">
        <f>IF($D136="","",INDEX('Start List'!M$15:M$139,MATCH($D136,'Start List'!$C$15:$C$139,0)))</f>
        <v/>
      </c>
      <c r="Q136" s="80" t="str">
        <f>IF($D136="","",INDEX('Start List'!N$15:N$139,MATCH($D136,'Start List'!$C$15:$C$139,0)))</f>
        <v/>
      </c>
      <c r="R136" s="80" t="str">
        <f>IF($D136="","",INDEX('Start List'!O$15:O$139,MATCH($D136,'Start List'!$C$15:$C$139,0)))</f>
        <v/>
      </c>
      <c r="S136" s="80" t="str">
        <f>IF($D136="","",INDEX('Start List'!P$15:P$139,MATCH($D136,'Start List'!$C$15:$C$139,0)))</f>
        <v/>
      </c>
      <c r="T136" s="80" t="str">
        <f>IF($D136="","",INDEX('Start List'!Q$15:Q$139,MATCH($D136,'Start List'!$C$15:$C$139,0)))</f>
        <v/>
      </c>
      <c r="U136" s="80" t="str">
        <f>IF($D136="","",INDEX('Start List'!R$15:R$139,MATCH($D136,'Start List'!$C$15:$C$139,0)))</f>
        <v/>
      </c>
      <c r="V136" s="80" t="str">
        <f>IF($D136="","",INDEX('Start List'!S$15:S$139,MATCH($D136,'Start List'!$C$15:$C$139,0)))</f>
        <v/>
      </c>
      <c r="W136" s="80" t="str">
        <f>IF($D136="","",INDEX('Start List'!T$15:T$139,MATCH($D136,'Start List'!$C$15:$C$139,0)))</f>
        <v/>
      </c>
      <c r="X136" s="80" t="str">
        <f>IF($D136="","",INDEX('Start List'!U$15:U$139,MATCH($D136,'Start List'!$C$15:$C$139,0)))</f>
        <v/>
      </c>
      <c r="Y136" s="80" t="str">
        <f>IF($D136="","",INDEX('Start List'!V$15:V$139,MATCH($D136,'Start List'!$C$15:$C$139,0)))</f>
        <v/>
      </c>
      <c r="Z136" s="80" t="str">
        <f>IF($D136="","",INDEX('Start List'!W$15:W$139,MATCH($D136,'Start List'!$C$15:$C$139,0)))</f>
        <v/>
      </c>
      <c r="AA136" s="80" t="str">
        <f>IF($D136="","",INDEX('Start List'!X$15:X$139,MATCH($D136,'Start List'!$C$15:$C$139,0)))</f>
        <v/>
      </c>
      <c r="AB136" s="80" t="str">
        <f>IF($D136="","",INDEX('Start List'!Y$15:Y$139,MATCH($D136,'Start List'!$C$15:$C$139,0)))</f>
        <v/>
      </c>
    </row>
    <row r="137" spans="1:28" ht="12.75" x14ac:dyDescent="0.2">
      <c r="A137" s="59" t="str">
        <f>IF(OR(COUNT('Start List'!A:A)+2='Men-Women'!A136,A136=""),"",'Men-Women'!A136+1)</f>
        <v/>
      </c>
      <c r="B137" s="228" t="str">
        <f>IF(A137="","",IF(COUNTIF($B$9:B136,$B$9)-1=COUNTIF('Start List'!C:C,"&gt;999"),'Start List'!$J$10,'Start List'!$J$9))</f>
        <v/>
      </c>
      <c r="C137" s="75" t="str">
        <f>IF(OR(B137="",COUNTIF($B$9:B137,B137)=1),"",COUNTIF($B$9:B137,B137)-1)</f>
        <v/>
      </c>
      <c r="D137" s="227" t="str">
        <f>IF(""=C137,"",IF(COUNTIF($D$9:D136,"")=2,LARGE('Start List'!C:C,A135),LARGE('Start List'!C:C,A136)))</f>
        <v/>
      </c>
      <c r="E137" s="79" t="str">
        <f>IF(C137="","",VLOOKUP(B137,Data!$AK$2:$AN$7,4,FALSE)&amp;C137)</f>
        <v/>
      </c>
      <c r="F137" s="80" t="str">
        <f>IF(COUNTIF(Data!$D$2:$D$97,'Men-Women'!$E137)=0,"",VLOOKUP('Men-Women'!$E137,Data!$D$2:$H$97,'Men-Women'!F$8,FALSE))</f>
        <v/>
      </c>
      <c r="G137" s="80" t="str">
        <f>IF(COUNTIF(Data!$D$2:$D$97,'Men-Women'!$E137)=0,"",VLOOKUP('Men-Women'!$E137,Data!$D$2:$H$97,'Men-Women'!G$8,FALSE))</f>
        <v/>
      </c>
      <c r="H137" s="80" t="str">
        <f>IF(COUNTIF(Data!$D$2:$D$97,'Men-Women'!$E137)=0,"",VLOOKUP('Men-Women'!$E137,Data!$D$2:$H$97,'Men-Women'!H$8,FALSE))</f>
        <v/>
      </c>
      <c r="I137" s="80" t="str">
        <f>IF(COUNTIF(Data!$D$2:$D$97,'Men-Women'!$E137)=0,"",VLOOKUP('Men-Women'!$E137,Data!$D$2:$H$97,'Men-Women'!I$8,FALSE))</f>
        <v/>
      </c>
      <c r="J137" s="77" t="str">
        <f>IF(B137&lt;&gt;B136,B137,IF($D137="","",INDEX('Start List'!$D$15:$D$139,MATCH($D137,'Start List'!$C$15:$C$139,0))))</f>
        <v/>
      </c>
      <c r="K137" s="77" t="str">
        <f>IF($D137="","",INDEX('Start List'!$E$15:$E$139,MATCH($D137,'Start List'!$C$15:$C$139,0)))</f>
        <v/>
      </c>
      <c r="L137" s="77" t="str">
        <f>IF($D137="","",INDEX('Start List'!$H$15:$H$139,MATCH($D137,'Start List'!$C$15:$C$139,0)))</f>
        <v/>
      </c>
      <c r="M137" s="79" t="str">
        <f>IF($D137="","",INDEX('Start List'!$F$15:$F$139,MATCH($D137,'Start List'!$C$15:$C$139,0)))</f>
        <v/>
      </c>
      <c r="N137" s="80" t="str">
        <f>IF($D137="","",INDEX('Start List'!K$15:K$139,MATCH($D137,'Start List'!$C$15:$C$139,0)))</f>
        <v/>
      </c>
      <c r="O137" s="80" t="str">
        <f>IF($D137="","",INDEX('Start List'!L$15:L$139,MATCH($D137,'Start List'!$C$15:$C$139,0)))</f>
        <v/>
      </c>
      <c r="P137" s="80" t="str">
        <f>IF($D137="","",INDEX('Start List'!M$15:M$139,MATCH($D137,'Start List'!$C$15:$C$139,0)))</f>
        <v/>
      </c>
      <c r="Q137" s="80" t="str">
        <f>IF($D137="","",INDEX('Start List'!N$15:N$139,MATCH($D137,'Start List'!$C$15:$C$139,0)))</f>
        <v/>
      </c>
      <c r="R137" s="80" t="str">
        <f>IF($D137="","",INDEX('Start List'!O$15:O$139,MATCH($D137,'Start List'!$C$15:$C$139,0)))</f>
        <v/>
      </c>
      <c r="S137" s="80" t="str">
        <f>IF($D137="","",INDEX('Start List'!P$15:P$139,MATCH($D137,'Start List'!$C$15:$C$139,0)))</f>
        <v/>
      </c>
      <c r="T137" s="80" t="str">
        <f>IF($D137="","",INDEX('Start List'!Q$15:Q$139,MATCH($D137,'Start List'!$C$15:$C$139,0)))</f>
        <v/>
      </c>
      <c r="U137" s="80" t="str">
        <f>IF($D137="","",INDEX('Start List'!R$15:R$139,MATCH($D137,'Start List'!$C$15:$C$139,0)))</f>
        <v/>
      </c>
      <c r="V137" s="80" t="str">
        <f>IF($D137="","",INDEX('Start List'!S$15:S$139,MATCH($D137,'Start List'!$C$15:$C$139,0)))</f>
        <v/>
      </c>
      <c r="W137" s="80" t="str">
        <f>IF($D137="","",INDEX('Start List'!T$15:T$139,MATCH($D137,'Start List'!$C$15:$C$139,0)))</f>
        <v/>
      </c>
      <c r="X137" s="80" t="str">
        <f>IF($D137="","",INDEX('Start List'!U$15:U$139,MATCH($D137,'Start List'!$C$15:$C$139,0)))</f>
        <v/>
      </c>
      <c r="Y137" s="80" t="str">
        <f>IF($D137="","",INDEX('Start List'!V$15:V$139,MATCH($D137,'Start List'!$C$15:$C$139,0)))</f>
        <v/>
      </c>
      <c r="Z137" s="80" t="str">
        <f>IF($D137="","",INDEX('Start List'!W$15:W$139,MATCH($D137,'Start List'!$C$15:$C$139,0)))</f>
        <v/>
      </c>
      <c r="AA137" s="80" t="str">
        <f>IF($D137="","",INDEX('Start List'!X$15:X$139,MATCH($D137,'Start List'!$C$15:$C$139,0)))</f>
        <v/>
      </c>
      <c r="AB137" s="80" t="str">
        <f>IF($D137="","",INDEX('Start List'!Y$15:Y$139,MATCH($D137,'Start List'!$C$15:$C$139,0)))</f>
        <v/>
      </c>
    </row>
    <row r="138" spans="1:28" ht="12.75" x14ac:dyDescent="0.2">
      <c r="A138" s="59" t="str">
        <f>IF(OR(COUNT('Start List'!A:A)+2='Men-Women'!A137,A137=""),"",'Men-Women'!A137+1)</f>
        <v/>
      </c>
      <c r="B138" s="228" t="str">
        <f>IF(A138="","",IF(COUNTIF($B$9:B137,$B$9)-1=COUNTIF('Start List'!C:C,"&gt;999"),'Start List'!$J$10,'Start List'!$J$9))</f>
        <v/>
      </c>
      <c r="C138" s="75" t="str">
        <f>IF(OR(B138="",COUNTIF($B$9:B138,B138)=1),"",COUNTIF($B$9:B138,B138)-1)</f>
        <v/>
      </c>
      <c r="D138" s="227" t="str">
        <f>IF(""=C138,"",IF(COUNTIF($D$9:D137,"")=2,LARGE('Start List'!C:C,A136),LARGE('Start List'!C:C,A137)))</f>
        <v/>
      </c>
      <c r="E138" s="79" t="str">
        <f>IF(C138="","",VLOOKUP(B138,Data!$AK$2:$AN$7,4,FALSE)&amp;C138)</f>
        <v/>
      </c>
      <c r="F138" s="80" t="str">
        <f>IF(COUNTIF(Data!$D$2:$D$97,'Men-Women'!$E138)=0,"",VLOOKUP('Men-Women'!$E138,Data!$D$2:$H$97,'Men-Women'!F$8,FALSE))</f>
        <v/>
      </c>
      <c r="G138" s="80" t="str">
        <f>IF(COUNTIF(Data!$D$2:$D$97,'Men-Women'!$E138)=0,"",VLOOKUP('Men-Women'!$E138,Data!$D$2:$H$97,'Men-Women'!G$8,FALSE))</f>
        <v/>
      </c>
      <c r="H138" s="80" t="str">
        <f>IF(COUNTIF(Data!$D$2:$D$97,'Men-Women'!$E138)=0,"",VLOOKUP('Men-Women'!$E138,Data!$D$2:$H$97,'Men-Women'!H$8,FALSE))</f>
        <v/>
      </c>
      <c r="I138" s="80" t="str">
        <f>IF(COUNTIF(Data!$D$2:$D$97,'Men-Women'!$E138)=0,"",VLOOKUP('Men-Women'!$E138,Data!$D$2:$H$97,'Men-Women'!I$8,FALSE))</f>
        <v/>
      </c>
      <c r="J138" s="77" t="str">
        <f>IF(B138&lt;&gt;B137,B138,IF($D138="","",INDEX('Start List'!$D$15:$D$139,MATCH($D138,'Start List'!$C$15:$C$139,0))))</f>
        <v/>
      </c>
      <c r="K138" s="77" t="str">
        <f>IF($D138="","",INDEX('Start List'!$E$15:$E$139,MATCH($D138,'Start List'!$C$15:$C$139,0)))</f>
        <v/>
      </c>
      <c r="L138" s="77" t="str">
        <f>IF($D138="","",INDEX('Start List'!$H$15:$H$139,MATCH($D138,'Start List'!$C$15:$C$139,0)))</f>
        <v/>
      </c>
      <c r="M138" s="79" t="str">
        <f>IF($D138="","",INDEX('Start List'!$F$15:$F$139,MATCH($D138,'Start List'!$C$15:$C$139,0)))</f>
        <v/>
      </c>
      <c r="N138" s="80" t="str">
        <f>IF($D138="","",INDEX('Start List'!K$15:K$139,MATCH($D138,'Start List'!$C$15:$C$139,0)))</f>
        <v/>
      </c>
      <c r="O138" s="80" t="str">
        <f>IF($D138="","",INDEX('Start List'!L$15:L$139,MATCH($D138,'Start List'!$C$15:$C$139,0)))</f>
        <v/>
      </c>
      <c r="P138" s="80" t="str">
        <f>IF($D138="","",INDEX('Start List'!M$15:M$139,MATCH($D138,'Start List'!$C$15:$C$139,0)))</f>
        <v/>
      </c>
      <c r="Q138" s="80" t="str">
        <f>IF($D138="","",INDEX('Start List'!N$15:N$139,MATCH($D138,'Start List'!$C$15:$C$139,0)))</f>
        <v/>
      </c>
      <c r="R138" s="80" t="str">
        <f>IF($D138="","",INDEX('Start List'!O$15:O$139,MATCH($D138,'Start List'!$C$15:$C$139,0)))</f>
        <v/>
      </c>
      <c r="S138" s="80" t="str">
        <f>IF($D138="","",INDEX('Start List'!P$15:P$139,MATCH($D138,'Start List'!$C$15:$C$139,0)))</f>
        <v/>
      </c>
      <c r="T138" s="80" t="str">
        <f>IF($D138="","",INDEX('Start List'!Q$15:Q$139,MATCH($D138,'Start List'!$C$15:$C$139,0)))</f>
        <v/>
      </c>
      <c r="U138" s="80" t="str">
        <f>IF($D138="","",INDEX('Start List'!R$15:R$139,MATCH($D138,'Start List'!$C$15:$C$139,0)))</f>
        <v/>
      </c>
      <c r="V138" s="80" t="str">
        <f>IF($D138="","",INDEX('Start List'!S$15:S$139,MATCH($D138,'Start List'!$C$15:$C$139,0)))</f>
        <v/>
      </c>
      <c r="W138" s="80" t="str">
        <f>IF($D138="","",INDEX('Start List'!T$15:T$139,MATCH($D138,'Start List'!$C$15:$C$139,0)))</f>
        <v/>
      </c>
      <c r="X138" s="80" t="str">
        <f>IF($D138="","",INDEX('Start List'!U$15:U$139,MATCH($D138,'Start List'!$C$15:$C$139,0)))</f>
        <v/>
      </c>
      <c r="Y138" s="80" t="str">
        <f>IF($D138="","",INDEX('Start List'!V$15:V$139,MATCH($D138,'Start List'!$C$15:$C$139,0)))</f>
        <v/>
      </c>
      <c r="Z138" s="80" t="str">
        <f>IF($D138="","",INDEX('Start List'!W$15:W$139,MATCH($D138,'Start List'!$C$15:$C$139,0)))</f>
        <v/>
      </c>
      <c r="AA138" s="80" t="str">
        <f>IF($D138="","",INDEX('Start List'!X$15:X$139,MATCH($D138,'Start List'!$C$15:$C$139,0)))</f>
        <v/>
      </c>
      <c r="AB138" s="80" t="str">
        <f>IF($D138="","",INDEX('Start List'!Y$15:Y$139,MATCH($D138,'Start List'!$C$15:$C$139,0)))</f>
        <v/>
      </c>
    </row>
    <row r="139" spans="1:28" ht="12.75" x14ac:dyDescent="0.2">
      <c r="A139" s="59" t="str">
        <f>IF(OR(COUNT('Start List'!A:A)+2='Men-Women'!A138,A138=""),"",'Men-Women'!A138+1)</f>
        <v/>
      </c>
      <c r="B139" s="228" t="str">
        <f>IF(A139="","",IF(COUNTIF($B$9:B138,$B$9)-1=COUNTIF('Start List'!C:C,"&gt;999"),'Start List'!$J$10,'Start List'!$J$9))</f>
        <v/>
      </c>
      <c r="C139" s="75" t="str">
        <f>IF(OR(B139="",COUNTIF($B$9:B139,B139)=1),"",COUNTIF($B$9:B139,B139)-1)</f>
        <v/>
      </c>
      <c r="D139" s="227" t="str">
        <f>IF(""=C139,"",IF(COUNTIF($D$9:D138,"")=2,LARGE('Start List'!C:C,A137),LARGE('Start List'!C:C,A138)))</f>
        <v/>
      </c>
      <c r="E139" s="79" t="str">
        <f>IF(C139="","",VLOOKUP(B139,Data!$AK$2:$AN$7,4,FALSE)&amp;C139)</f>
        <v/>
      </c>
      <c r="F139" s="80" t="str">
        <f>IF(COUNTIF(Data!$D$2:$D$97,'Men-Women'!$E139)=0,"",VLOOKUP('Men-Women'!$E139,Data!$D$2:$H$97,'Men-Women'!F$8,FALSE))</f>
        <v/>
      </c>
      <c r="G139" s="80" t="str">
        <f>IF(COUNTIF(Data!$D$2:$D$97,'Men-Women'!$E139)=0,"",VLOOKUP('Men-Women'!$E139,Data!$D$2:$H$97,'Men-Women'!G$8,FALSE))</f>
        <v/>
      </c>
      <c r="H139" s="80" t="str">
        <f>IF(COUNTIF(Data!$D$2:$D$97,'Men-Women'!$E139)=0,"",VLOOKUP('Men-Women'!$E139,Data!$D$2:$H$97,'Men-Women'!H$8,FALSE))</f>
        <v/>
      </c>
      <c r="I139" s="80" t="str">
        <f>IF(COUNTIF(Data!$D$2:$D$97,'Men-Women'!$E139)=0,"",VLOOKUP('Men-Women'!$E139,Data!$D$2:$H$97,'Men-Women'!I$8,FALSE))</f>
        <v/>
      </c>
      <c r="J139" s="77" t="str">
        <f>IF(B139&lt;&gt;B138,B139,IF($D139="","",INDEX('Start List'!$D$15:$D$139,MATCH($D139,'Start List'!$C$15:$C$139,0))))</f>
        <v/>
      </c>
      <c r="K139" s="77" t="str">
        <f>IF($D139="","",INDEX('Start List'!$E$15:$E$139,MATCH($D139,'Start List'!$C$15:$C$139,0)))</f>
        <v/>
      </c>
      <c r="L139" s="77" t="str">
        <f>IF($D139="","",INDEX('Start List'!$H$15:$H$139,MATCH($D139,'Start List'!$C$15:$C$139,0)))</f>
        <v/>
      </c>
      <c r="M139" s="79" t="str">
        <f>IF($D139="","",INDEX('Start List'!$F$15:$F$139,MATCH($D139,'Start List'!$C$15:$C$139,0)))</f>
        <v/>
      </c>
      <c r="N139" s="80" t="str">
        <f>IF($D139="","",INDEX('Start List'!K$15:K$139,MATCH($D139,'Start List'!$C$15:$C$139,0)))</f>
        <v/>
      </c>
      <c r="O139" s="80" t="str">
        <f>IF($D139="","",INDEX('Start List'!L$15:L$139,MATCH($D139,'Start List'!$C$15:$C$139,0)))</f>
        <v/>
      </c>
      <c r="P139" s="80" t="str">
        <f>IF($D139="","",INDEX('Start List'!M$15:M$139,MATCH($D139,'Start List'!$C$15:$C$139,0)))</f>
        <v/>
      </c>
      <c r="Q139" s="80" t="str">
        <f>IF($D139="","",INDEX('Start List'!N$15:N$139,MATCH($D139,'Start List'!$C$15:$C$139,0)))</f>
        <v/>
      </c>
      <c r="R139" s="80" t="str">
        <f>IF($D139="","",INDEX('Start List'!O$15:O$139,MATCH($D139,'Start List'!$C$15:$C$139,0)))</f>
        <v/>
      </c>
      <c r="S139" s="80" t="str">
        <f>IF($D139="","",INDEX('Start List'!P$15:P$139,MATCH($D139,'Start List'!$C$15:$C$139,0)))</f>
        <v/>
      </c>
      <c r="T139" s="80" t="str">
        <f>IF($D139="","",INDEX('Start List'!Q$15:Q$139,MATCH($D139,'Start List'!$C$15:$C$139,0)))</f>
        <v/>
      </c>
      <c r="U139" s="80" t="str">
        <f>IF($D139="","",INDEX('Start List'!R$15:R$139,MATCH($D139,'Start List'!$C$15:$C$139,0)))</f>
        <v/>
      </c>
      <c r="V139" s="80" t="str">
        <f>IF($D139="","",INDEX('Start List'!S$15:S$139,MATCH($D139,'Start List'!$C$15:$C$139,0)))</f>
        <v/>
      </c>
      <c r="W139" s="80" t="str">
        <f>IF($D139="","",INDEX('Start List'!T$15:T$139,MATCH($D139,'Start List'!$C$15:$C$139,0)))</f>
        <v/>
      </c>
      <c r="X139" s="80" t="str">
        <f>IF($D139="","",INDEX('Start List'!U$15:U$139,MATCH($D139,'Start List'!$C$15:$C$139,0)))</f>
        <v/>
      </c>
      <c r="Y139" s="80" t="str">
        <f>IF($D139="","",INDEX('Start List'!V$15:V$139,MATCH($D139,'Start List'!$C$15:$C$139,0)))</f>
        <v/>
      </c>
      <c r="Z139" s="80" t="str">
        <f>IF($D139="","",INDEX('Start List'!W$15:W$139,MATCH($D139,'Start List'!$C$15:$C$139,0)))</f>
        <v/>
      </c>
      <c r="AA139" s="80" t="str">
        <f>IF($D139="","",INDEX('Start List'!X$15:X$139,MATCH($D139,'Start List'!$C$15:$C$139,0)))</f>
        <v/>
      </c>
      <c r="AB139" s="80" t="str">
        <f>IF($D139="","",INDEX('Start List'!Y$15:Y$139,MATCH($D139,'Start List'!$C$15:$C$139,0)))</f>
        <v/>
      </c>
    </row>
    <row r="140" spans="1:28" ht="12.75" x14ac:dyDescent="0.2">
      <c r="B140" s="74"/>
    </row>
  </sheetData>
  <sheetProtection password="D5DB" sheet="1" objects="1" scenarios="1"/>
  <mergeCells count="24">
    <mergeCell ref="AA6:AA7"/>
    <mergeCell ref="AB6:AB7"/>
    <mergeCell ref="U6:U7"/>
    <mergeCell ref="V6:V7"/>
    <mergeCell ref="W6:W7"/>
    <mergeCell ref="X6:X7"/>
    <mergeCell ref="Y6:Y7"/>
    <mergeCell ref="Z6:Z7"/>
    <mergeCell ref="T6:T7"/>
    <mergeCell ref="A1:AB1"/>
    <mergeCell ref="A2:AB2"/>
    <mergeCell ref="A3:AB3"/>
    <mergeCell ref="A4:AB4"/>
    <mergeCell ref="C6:C7"/>
    <mergeCell ref="J6:J7"/>
    <mergeCell ref="K6:K7"/>
    <mergeCell ref="L6:L7"/>
    <mergeCell ref="M6:M7"/>
    <mergeCell ref="N6:N7"/>
    <mergeCell ref="O6:O7"/>
    <mergeCell ref="P6:P7"/>
    <mergeCell ref="Q6:Q7"/>
    <mergeCell ref="R6:R7"/>
    <mergeCell ref="S6:S7"/>
  </mergeCells>
  <conditionalFormatting sqref="N9:AB139">
    <cfRule type="expression" dxfId="542" priority="6">
      <formula>OR(N$6=10,N$6="R10",N$6="Notes")</formula>
    </cfRule>
  </conditionalFormatting>
  <conditionalFormatting sqref="C9:AB139">
    <cfRule type="expression" dxfId="541" priority="2">
      <formula>OR($J9="")</formula>
    </cfRule>
    <cfRule type="expression" dxfId="540" priority="3">
      <formula>OR($J9="Men",$J9="Women",$J9="Juniors",$J9="Cadets  ",$J9="Senior Men",$J9="Senior Women",$J9="Muški",$J9="Žene     ",$J9="Juniori   ",$J9="Kadeti     ",$J9="Seniori     ",$J9="Seniorke     ",$J9="Seniors  ",$J9="Muži",$J9="Ženy ",$J9="Junioři",$J9="Kadeti  ",$J9="Senioři  ",$J9="Seniořky  ",$J9="Herren",$J9="Dammen ",$J9="Junioren",$J9="Kadetten ",$J9="Senioren Herren",$J9="Senioren Dammen ",$J9="Senioren  ")</formula>
    </cfRule>
  </conditionalFormatting>
  <conditionalFormatting sqref="N10:AB139">
    <cfRule type="expression" dxfId="539" priority="4">
      <formula>OR(N$6="Σ")</formula>
    </cfRule>
    <cfRule type="expression" dxfId="538" priority="5">
      <formula>OR(N$6="IR300",N$6="65m",N$6="50m",N$6="35m")</formula>
    </cfRule>
  </conditionalFormatting>
  <conditionalFormatting sqref="A1:XFD1048576">
    <cfRule type="expression" dxfId="537" priority="1">
      <formula>OR($D$6&lt;=$D$7)</formula>
    </cfRule>
  </conditionalFormatting>
  <printOptions horizontalCentered="1"/>
  <pageMargins left="0.39370078740157483" right="0.39370078740157483" top="0.59055118110236227" bottom="0.59055118110236227" header="0" footer="0"/>
  <pageSetup paperSize="9" scale="6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138"/>
  <sheetViews>
    <sheetView showGridLines="0" showRowColHeaders="0" zoomScaleSheetLayoutView="55" workbookViewId="0">
      <selection activeCell="K5" sqref="K5"/>
    </sheetView>
  </sheetViews>
  <sheetFormatPr defaultColWidth="9.140625" defaultRowHeight="12" x14ac:dyDescent="0.2"/>
  <cols>
    <col min="1" max="1" width="5.5703125" style="84" customWidth="1"/>
    <col min="2" max="9" width="14.42578125" style="59" hidden="1" customWidth="1"/>
    <col min="10" max="10" width="21.7109375" style="85" bestFit="1" customWidth="1"/>
    <col min="11" max="11" width="36.28515625" style="84" bestFit="1" customWidth="1"/>
    <col min="12" max="12" width="5.85546875" style="84" hidden="1" customWidth="1"/>
    <col min="13" max="13" width="4.5703125" style="84" customWidth="1"/>
    <col min="14" max="24" width="5.7109375" style="84" customWidth="1"/>
    <col min="25" max="25" width="5.7109375" style="86" customWidth="1"/>
    <col min="26" max="26" width="5.7109375" style="62" customWidth="1"/>
    <col min="27" max="28" width="5.7109375" style="66" customWidth="1"/>
    <col min="29" max="16384" width="9.140625" style="62"/>
  </cols>
  <sheetData>
    <row r="1" spans="1:28" s="58" customFormat="1" ht="15.75" customHeight="1" x14ac:dyDescent="0.25">
      <c r="A1" s="243" t="str">
        <f>'By Category'!A1:AB1</f>
        <v>22. BOHEMIA CUP - CROSSBOW FIELD</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row>
    <row r="2" spans="1:28" s="58" customFormat="1" ht="15.75" customHeight="1" x14ac:dyDescent="0.25">
      <c r="A2" s="243" t="str">
        <f>'By Category'!A2:AB2</f>
        <v>Nový Stadion, TJ Jiskra, Otrokovice</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row>
    <row r="3" spans="1:28" s="58" customFormat="1" ht="15.75" customHeight="1" x14ac:dyDescent="0.25">
      <c r="A3" s="243" t="str">
        <f>'By Category'!A3:AB3</f>
        <v>14.-16. August 2020</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row>
    <row r="4" spans="1:28" s="58" customFormat="1" ht="15.75" customHeight="1" x14ac:dyDescent="0.25">
      <c r="A4" s="243" t="s">
        <v>720</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row>
    <row r="5" spans="1:28" ht="13.5" customHeight="1" x14ac:dyDescent="0.2">
      <c r="A5" s="60"/>
      <c r="B5" s="61"/>
      <c r="C5" s="61"/>
      <c r="D5" s="61"/>
      <c r="E5" s="61"/>
      <c r="F5" s="61"/>
      <c r="G5" s="61"/>
      <c r="H5" s="61"/>
      <c r="I5" s="61"/>
      <c r="J5" s="63"/>
      <c r="K5" s="64"/>
      <c r="L5" s="64"/>
      <c r="M5" s="64"/>
      <c r="N5" s="64"/>
      <c r="O5" s="64"/>
      <c r="P5" s="64"/>
      <c r="Q5" s="64"/>
      <c r="R5" s="64"/>
      <c r="S5" s="64"/>
      <c r="T5" s="64"/>
      <c r="U5" s="64"/>
      <c r="V5" s="64"/>
      <c r="W5" s="64"/>
      <c r="X5" s="64"/>
      <c r="Y5" s="65"/>
    </row>
    <row r="6" spans="1:28" ht="13.5" customHeight="1" x14ac:dyDescent="0.2">
      <c r="A6" s="241" t="s">
        <v>0</v>
      </c>
      <c r="B6" s="67">
        <f>Data!AW4</f>
        <v>44062</v>
      </c>
      <c r="C6" s="67"/>
      <c r="D6" s="67"/>
      <c r="E6" s="67"/>
      <c r="F6" s="67"/>
      <c r="G6" s="67"/>
      <c r="H6" s="67"/>
      <c r="I6" s="67"/>
      <c r="J6" s="246" t="str">
        <f>'Start List'!D6:D7</f>
        <v>Competitor</v>
      </c>
      <c r="K6" s="246" t="str">
        <f>'Start List'!E6:E7</f>
        <v>Country</v>
      </c>
      <c r="L6" s="246" t="str">
        <f>'Start List'!H6:H7</f>
        <v>Abbr.</v>
      </c>
      <c r="M6" s="246" t="str">
        <f>'Start List'!F6:F7</f>
        <v>Cat.</v>
      </c>
      <c r="N6" s="246" t="str">
        <f>'Start List'!K6:K7</f>
        <v>65m</v>
      </c>
      <c r="O6" s="246" t="str">
        <f>'Start List'!L6:L7</f>
        <v>R10</v>
      </c>
      <c r="P6" s="246">
        <f>'Start List'!M6:M7</f>
        <v>10</v>
      </c>
      <c r="Q6" s="246" t="str">
        <f>'Start List'!N6:N7</f>
        <v/>
      </c>
      <c r="R6" s="246" t="str">
        <f>'Start List'!O6:O7</f>
        <v>50m</v>
      </c>
      <c r="S6" s="246" t="str">
        <f>'Start List'!P6:P7</f>
        <v>R10</v>
      </c>
      <c r="T6" s="246">
        <f>'Start List'!Q6:Q7</f>
        <v>10</v>
      </c>
      <c r="U6" s="246" t="str">
        <f>'Start List'!R6:R7</f>
        <v/>
      </c>
      <c r="V6" s="246" t="str">
        <f>'Start List'!S6:S7</f>
        <v>35m</v>
      </c>
      <c r="W6" s="246" t="str">
        <f>'Start List'!T6:T7</f>
        <v>R10</v>
      </c>
      <c r="X6" s="246">
        <f>'Start List'!U6:U7</f>
        <v>10</v>
      </c>
      <c r="Y6" s="246" t="str">
        <f>'Start List'!V6:V7</f>
        <v/>
      </c>
      <c r="Z6" s="246" t="str">
        <f>'Start List'!W6:W7</f>
        <v>Σ</v>
      </c>
      <c r="AA6" s="246" t="str">
        <f>'Start List'!X6:X7</f>
        <v>R10</v>
      </c>
      <c r="AB6" s="246">
        <f>'Start List'!Y6:Y7</f>
        <v>10</v>
      </c>
    </row>
    <row r="7" spans="1:28" ht="13.5" customHeight="1" x14ac:dyDescent="0.2">
      <c r="A7" s="241"/>
      <c r="B7" s="229">
        <f ca="1">Data!AW5</f>
        <v>44059.610003935188</v>
      </c>
      <c r="C7" s="229"/>
      <c r="D7" s="229"/>
      <c r="E7" s="229"/>
      <c r="F7" s="229"/>
      <c r="G7" s="229"/>
      <c r="H7" s="229"/>
      <c r="I7" s="229"/>
      <c r="J7" s="246"/>
      <c r="K7" s="246"/>
      <c r="L7" s="246"/>
      <c r="M7" s="246"/>
      <c r="N7" s="246"/>
      <c r="O7" s="246"/>
      <c r="P7" s="246"/>
      <c r="Q7" s="246"/>
      <c r="R7" s="246"/>
      <c r="S7" s="246"/>
      <c r="T7" s="246"/>
      <c r="U7" s="246"/>
      <c r="V7" s="246"/>
      <c r="W7" s="246"/>
      <c r="X7" s="246"/>
      <c r="Y7" s="246"/>
      <c r="Z7" s="246"/>
      <c r="AA7" s="246"/>
      <c r="AB7" s="246"/>
    </row>
    <row r="8" spans="1:28" s="70" customFormat="1" ht="6.75" customHeight="1" x14ac:dyDescent="0.2">
      <c r="A8" s="69"/>
      <c r="B8" s="69">
        <v>1</v>
      </c>
      <c r="C8" s="69"/>
      <c r="D8" s="69"/>
      <c r="E8" s="69"/>
      <c r="F8" s="69">
        <v>2</v>
      </c>
      <c r="G8" s="69">
        <v>3</v>
      </c>
      <c r="H8" s="69">
        <v>4</v>
      </c>
      <c r="I8" s="69">
        <v>5</v>
      </c>
      <c r="J8" s="71">
        <v>3</v>
      </c>
      <c r="K8" s="69">
        <v>4</v>
      </c>
      <c r="L8" s="69">
        <v>4</v>
      </c>
      <c r="M8" s="69">
        <v>5</v>
      </c>
      <c r="N8" s="69">
        <v>10</v>
      </c>
      <c r="O8" s="69">
        <v>11</v>
      </c>
      <c r="P8" s="69">
        <v>12</v>
      </c>
      <c r="Q8" s="69">
        <v>13</v>
      </c>
      <c r="R8" s="69">
        <v>14</v>
      </c>
      <c r="S8" s="69">
        <v>15</v>
      </c>
      <c r="T8" s="69">
        <v>16</v>
      </c>
      <c r="U8" s="69">
        <v>17</v>
      </c>
      <c r="V8" s="69">
        <v>18</v>
      </c>
      <c r="W8" s="69">
        <v>19</v>
      </c>
      <c r="X8" s="69">
        <v>20</v>
      </c>
      <c r="Y8" s="69">
        <v>21</v>
      </c>
      <c r="Z8" s="69">
        <v>22</v>
      </c>
      <c r="AA8" s="69">
        <v>23</v>
      </c>
      <c r="AB8" s="69">
        <v>24</v>
      </c>
    </row>
    <row r="9" spans="1:28" ht="12.75" customHeight="1" x14ac:dyDescent="0.2">
      <c r="A9" s="75">
        <f>'Start List'!A15</f>
        <v>1</v>
      </c>
      <c r="B9" s="76">
        <f>IF(A9="","",LARGE('Start List'!$B$15:$B$139,A9))</f>
        <v>869.42209800000001</v>
      </c>
      <c r="C9" s="76" t="str">
        <f>IF($A9="","","M"&amp;$A9)</f>
        <v>M1</v>
      </c>
      <c r="D9" s="76">
        <f>B9</f>
        <v>869.42209800000001</v>
      </c>
      <c r="E9" s="76" t="str">
        <f>IF($A9="","","A"&amp;$A9)</f>
        <v>A1</v>
      </c>
      <c r="F9" s="80">
        <f>IF(COUNTIF(Data!$D$2:$D$97,$C9)=0,"",VLOOKUP($C9,Data!$D$2:$H$97,F$8,FALSE))</f>
        <v>1</v>
      </c>
      <c r="G9" s="80">
        <f>IF(COUNTIF(Data!$D$2:$D$97,$C9)=0,"",VLOOKUP($C9,Data!$D$2:$H$97,G$8,FALSE))</f>
        <v>1</v>
      </c>
      <c r="H9" s="80">
        <f>IF(COUNTIF(Data!$D$2:$D$97,$C9)=0,"",VLOOKUP($C9,Data!$D$2:$H$97,H$8,FALSE))</f>
        <v>5</v>
      </c>
      <c r="I9" s="80">
        <f>IF(COUNTIF(Data!$D$2:$D$97,$C9)=0,"",VLOOKUP($C9,Data!$D$2:$H$97,I$8,FALSE))</f>
        <v>10</v>
      </c>
      <c r="J9" s="77" t="str">
        <f>IF(A9="","",VLOOKUP($B9,'Start List'!$B$15:$Y$139,J$8,FALSE))</f>
        <v>Korbař Bohumil</v>
      </c>
      <c r="K9" s="77" t="str">
        <f>IF(B9="","",VLOOKUP($B9,'Start List'!$B$15:$Y$139,K$8,FALSE))</f>
        <v>CZE - Plumlov</v>
      </c>
      <c r="L9" s="77" t="str">
        <f>IF(J9="","",VLOOKUP($B9,'Start List'!$B$15:$Y$139,L$8,FALSE))</f>
        <v>CZE - Plumlov</v>
      </c>
      <c r="M9" s="79" t="str">
        <f>IF(K9="","",VLOOKUP($B9,'Start List'!$B$15:$Y$139,M$8,FALSE))</f>
        <v>M</v>
      </c>
      <c r="N9" s="150">
        <f>IF($B9="","",VLOOKUP($B9,'Start List'!$B$15:$Y$139,N$8,FALSE))</f>
        <v>280</v>
      </c>
      <c r="O9" s="80">
        <f>IF($B9="","",VLOOKUP($B9,'Start List'!$B$15:$Y$139,O$8,FALSE))</f>
        <v>9</v>
      </c>
      <c r="P9" s="80">
        <f>IF($B9="","",VLOOKUP($B9,'Start List'!$B$15:$Y$139,P$8,FALSE))</f>
        <v>5</v>
      </c>
      <c r="Q9" s="150" t="str">
        <f>IF($B9="","",VLOOKUP($B9,'Start List'!$B$15:$Y$139,Q$8,FALSE))</f>
        <v/>
      </c>
      <c r="R9" s="80">
        <f>IF($B9="","",VLOOKUP($B9,'Start List'!$B$15:$Y$139,R$8,FALSE))</f>
        <v>295</v>
      </c>
      <c r="S9" s="150">
        <f>IF($B9="","",VLOOKUP($B9,'Start List'!$B$15:$Y$139,S$8,FALSE))</f>
        <v>18</v>
      </c>
      <c r="T9" s="150">
        <f>IF($B9="","",VLOOKUP($B9,'Start List'!$B$15:$Y$139,T$8,FALSE))</f>
        <v>7</v>
      </c>
      <c r="U9" s="80" t="str">
        <f>IF($B9="","",VLOOKUP($B9,'Start List'!$B$15:$Y$139,U$8,FALSE))</f>
        <v/>
      </c>
      <c r="V9" s="80">
        <f>IF($B9="","",VLOOKUP($B9,'Start List'!$B$15:$Y$139,V$8,FALSE))</f>
        <v>294</v>
      </c>
      <c r="W9" s="150">
        <f>IF($B9="","",VLOOKUP($B9,'Start List'!$B$15:$Y$139,W$8,FALSE))</f>
        <v>15</v>
      </c>
      <c r="X9" s="80">
        <f>IF($B9="","",VLOOKUP($B9,'Start List'!$B$15:$Y$139,X$8,FALSE))</f>
        <v>9</v>
      </c>
      <c r="Y9" s="80" t="str">
        <f>IF($B9="","",VLOOKUP($B9,'Start List'!$B$15:$Y$139,Y$8,FALSE))</f>
        <v/>
      </c>
      <c r="Z9" s="217">
        <f>IF($B9="","",VLOOKUP($B9,'Start List'!$B$15:$Y$139,Z$8,FALSE))</f>
        <v>869</v>
      </c>
      <c r="AA9" s="218">
        <f>IF($B9="","",VLOOKUP($B9,'Start List'!$B$15:$Y$139,AA$8,FALSE))</f>
        <v>42</v>
      </c>
      <c r="AB9" s="218">
        <f>IF($B9="","",VLOOKUP($B9,'Start List'!$B$15:$Y$139,AB$8,FALSE))</f>
        <v>21</v>
      </c>
    </row>
    <row r="10" spans="1:28" ht="12.75" customHeight="1" x14ac:dyDescent="0.2">
      <c r="A10" s="75">
        <f>'Start List'!A16</f>
        <v>2</v>
      </c>
      <c r="B10" s="76">
        <f>IF(A10="","",LARGE('Start List'!$B$15:$B$139,A10))</f>
        <v>865.40199899999993</v>
      </c>
      <c r="C10" s="76" t="str">
        <f t="shared" ref="C10:C73" si="0">IF($A10="","","M"&amp;$A10)</f>
        <v>M2</v>
      </c>
      <c r="D10" s="76">
        <f t="shared" ref="D10:D73" si="1">B10</f>
        <v>865.40199899999993</v>
      </c>
      <c r="E10" s="76" t="str">
        <f t="shared" ref="E10:E73" si="2">IF($A10="","","A"&amp;$A10)</f>
        <v>A2</v>
      </c>
      <c r="F10" s="80">
        <f>IF(COUNTIF(Data!$D$2:$D$97,$C10)=0,"",VLOOKUP($C10,Data!$D$2:$H$97,F$8,FALSE))</f>
        <v>9</v>
      </c>
      <c r="G10" s="80">
        <f>IF(COUNTIF(Data!$D$2:$D$97,$C10)=0,"",VLOOKUP($C10,Data!$D$2:$H$97,G$8,FALSE))</f>
        <v>5</v>
      </c>
      <c r="H10" s="80">
        <f>IF(COUNTIF(Data!$D$2:$D$97,$C10)=0,"",VLOOKUP($C10,Data!$D$2:$H$97,H$8,FALSE))</f>
        <v>2</v>
      </c>
      <c r="I10" s="80">
        <f>IF(COUNTIF(Data!$D$2:$D$97,$C10)=0,"",VLOOKUP($C10,Data!$D$2:$H$97,I$8,FALSE))</f>
        <v>11</v>
      </c>
      <c r="J10" s="77" t="str">
        <f>IF(A10="","",VLOOKUP($B10,'Start List'!$B$15:$Y$139,J$8,FALSE))</f>
        <v>Pereglin Domagoj</v>
      </c>
      <c r="K10" s="77" t="str">
        <f>IF(B10="","",VLOOKUP($B10,'Start List'!$B$15:$Y$139,K$8,FALSE))</f>
        <v>CRO</v>
      </c>
      <c r="L10" s="77" t="str">
        <f>IF(J10="","",VLOOKUP($B10,'Start List'!$B$15:$Y$139,L$8,FALSE))</f>
        <v>CRO</v>
      </c>
      <c r="M10" s="79" t="str">
        <f>IF(K10="","",VLOOKUP($B10,'Start List'!$B$15:$Y$139,M$8,FALSE))</f>
        <v>M</v>
      </c>
      <c r="N10" s="150">
        <f>IF($B10="","",VLOOKUP($B10,'Start List'!$B$15:$Y$139,N$8,FALSE))</f>
        <v>280</v>
      </c>
      <c r="O10" s="80">
        <f>IF($B10="","",VLOOKUP($B10,'Start List'!$B$15:$Y$139,O$8,FALSE))</f>
        <v>8</v>
      </c>
      <c r="P10" s="80">
        <f>IF($B10="","",VLOOKUP($B10,'Start List'!$B$15:$Y$139,P$8,FALSE))</f>
        <v>6</v>
      </c>
      <c r="Q10" s="150" t="str">
        <f>IF($B10="","",VLOOKUP($B10,'Start List'!$B$15:$Y$139,Q$8,FALSE))</f>
        <v/>
      </c>
      <c r="R10" s="80">
        <f>IF($B10="","",VLOOKUP($B10,'Start List'!$B$15:$Y$139,R$8,FALSE))</f>
        <v>293</v>
      </c>
      <c r="S10" s="150">
        <f>IF($B10="","",VLOOKUP($B10,'Start List'!$B$15:$Y$139,S$8,FALSE))</f>
        <v>15</v>
      </c>
      <c r="T10" s="150">
        <f>IF($B10="","",VLOOKUP($B10,'Start List'!$B$15:$Y$139,T$8,FALSE))</f>
        <v>9</v>
      </c>
      <c r="U10" s="80" t="str">
        <f>IF($B10="","",VLOOKUP($B10,'Start List'!$B$15:$Y$139,U$8,FALSE))</f>
        <v/>
      </c>
      <c r="V10" s="80">
        <f>IF($B10="","",VLOOKUP($B10,'Start List'!$B$15:$Y$139,V$8,FALSE))</f>
        <v>292</v>
      </c>
      <c r="W10" s="150">
        <f>IF($B10="","",VLOOKUP($B10,'Start List'!$B$15:$Y$139,W$8,FALSE))</f>
        <v>17</v>
      </c>
      <c r="X10" s="80">
        <f>IF($B10="","",VLOOKUP($B10,'Start List'!$B$15:$Y$139,X$8,FALSE))</f>
        <v>5</v>
      </c>
      <c r="Y10" s="80" t="str">
        <f>IF($B10="","",VLOOKUP($B10,'Start List'!$B$15:$Y$139,Y$8,FALSE))</f>
        <v/>
      </c>
      <c r="Z10" s="217">
        <f>IF($B10="","",VLOOKUP($B10,'Start List'!$B$15:$Y$139,Z$8,FALSE))</f>
        <v>865</v>
      </c>
      <c r="AA10" s="218">
        <f>IF($B10="","",VLOOKUP($B10,'Start List'!$B$15:$Y$139,AA$8,FALSE))</f>
        <v>40</v>
      </c>
      <c r="AB10" s="218">
        <f>IF($B10="","",VLOOKUP($B10,'Start List'!$B$15:$Y$139,AB$8,FALSE))</f>
        <v>20</v>
      </c>
    </row>
    <row r="11" spans="1:28" ht="12.75" customHeight="1" x14ac:dyDescent="0.2">
      <c r="A11" s="75">
        <f>'Start List'!A17</f>
        <v>3</v>
      </c>
      <c r="B11" s="76">
        <f>IF(A11="","",LARGE('Start List'!$B$15:$B$139,A11))</f>
        <v>864.42189199999996</v>
      </c>
      <c r="C11" s="76" t="str">
        <f t="shared" si="0"/>
        <v>M3</v>
      </c>
      <c r="D11" s="76">
        <f t="shared" si="1"/>
        <v>864.42189199999996</v>
      </c>
      <c r="E11" s="76" t="str">
        <f t="shared" si="2"/>
        <v>A3</v>
      </c>
      <c r="F11" s="80">
        <f>IF(COUNTIF(Data!$D$2:$D$97,$C11)=0,"",VLOOKUP($C11,Data!$D$2:$H$97,F$8,FALSE))</f>
        <v>13</v>
      </c>
      <c r="G11" s="80">
        <f>IF(COUNTIF(Data!$D$2:$D$97,$C11)=0,"",VLOOKUP($C11,Data!$D$2:$H$97,G$8,FALSE))</f>
        <v>7</v>
      </c>
      <c r="H11" s="80">
        <f>IF(COUNTIF(Data!$D$2:$D$97,$C11)=0,"",VLOOKUP($C11,Data!$D$2:$H$97,H$8,FALSE))</f>
        <v>3</v>
      </c>
      <c r="I11" s="80">
        <f>IF(COUNTIF(Data!$D$2:$D$97,$C11)=0,"",VLOOKUP($C11,Data!$D$2:$H$97,I$8,FALSE))</f>
        <v>11</v>
      </c>
      <c r="J11" s="77" t="str">
        <f>IF(A11="","",VLOOKUP($B11,'Start List'!$B$15:$Y$139,J$8,FALSE))</f>
        <v>Pereglin Valentina</v>
      </c>
      <c r="K11" s="77" t="str">
        <f>IF(B11="","",VLOOKUP($B11,'Start List'!$B$15:$Y$139,K$8,FALSE))</f>
        <v>CRO</v>
      </c>
      <c r="L11" s="77" t="str">
        <f>IF(J11="","",VLOOKUP($B11,'Start List'!$B$15:$Y$139,L$8,FALSE))</f>
        <v>CRO</v>
      </c>
      <c r="M11" s="79" t="str">
        <f>IF(K11="","",VLOOKUP($B11,'Start List'!$B$15:$Y$139,M$8,FALSE))</f>
        <v>W</v>
      </c>
      <c r="N11" s="150">
        <f>IF($B11="","",VLOOKUP($B11,'Start List'!$B$15:$Y$139,N$8,FALSE))</f>
        <v>280</v>
      </c>
      <c r="O11" s="80">
        <f>IF($B11="","",VLOOKUP($B11,'Start List'!$B$15:$Y$139,O$8,FALSE))</f>
        <v>12</v>
      </c>
      <c r="P11" s="80">
        <f>IF($B11="","",VLOOKUP($B11,'Start List'!$B$15:$Y$139,P$8,FALSE))</f>
        <v>4</v>
      </c>
      <c r="Q11" s="150" t="str">
        <f>IF($B11="","",VLOOKUP($B11,'Start List'!$B$15:$Y$139,Q$8,FALSE))</f>
        <v/>
      </c>
      <c r="R11" s="80">
        <f>IF($B11="","",VLOOKUP($B11,'Start List'!$B$15:$Y$139,R$8,FALSE))</f>
        <v>294</v>
      </c>
      <c r="S11" s="150">
        <f>IF($B11="","",VLOOKUP($B11,'Start List'!$B$15:$Y$139,S$8,FALSE))</f>
        <v>16</v>
      </c>
      <c r="T11" s="150">
        <f>IF($B11="","",VLOOKUP($B11,'Start List'!$B$15:$Y$139,T$8,FALSE))</f>
        <v>8</v>
      </c>
      <c r="U11" s="80" t="str">
        <f>IF($B11="","",VLOOKUP($B11,'Start List'!$B$15:$Y$139,U$8,FALSE))</f>
        <v/>
      </c>
      <c r="V11" s="80">
        <f>IF($B11="","",VLOOKUP($B11,'Start List'!$B$15:$Y$139,V$8,FALSE))</f>
        <v>290</v>
      </c>
      <c r="W11" s="150">
        <f>IF($B11="","",VLOOKUP($B11,'Start List'!$B$15:$Y$139,W$8,FALSE))</f>
        <v>14</v>
      </c>
      <c r="X11" s="80">
        <f>IF($B11="","",VLOOKUP($B11,'Start List'!$B$15:$Y$139,X$8,FALSE))</f>
        <v>7</v>
      </c>
      <c r="Y11" s="80" t="str">
        <f>IF($B11="","",VLOOKUP($B11,'Start List'!$B$15:$Y$139,Y$8,FALSE))</f>
        <v/>
      </c>
      <c r="Z11" s="217">
        <f>IF($B11="","",VLOOKUP($B11,'Start List'!$B$15:$Y$139,Z$8,FALSE))</f>
        <v>864</v>
      </c>
      <c r="AA11" s="218">
        <f>IF($B11="","",VLOOKUP($B11,'Start List'!$B$15:$Y$139,AA$8,FALSE))</f>
        <v>42</v>
      </c>
      <c r="AB11" s="218">
        <f>IF($B11="","",VLOOKUP($B11,'Start List'!$B$15:$Y$139,AB$8,FALSE))</f>
        <v>19</v>
      </c>
    </row>
    <row r="12" spans="1:28" s="78" customFormat="1" ht="12.75" customHeight="1" x14ac:dyDescent="0.2">
      <c r="A12" s="75">
        <f>'Start List'!A18</f>
        <v>4</v>
      </c>
      <c r="B12" s="76">
        <f>IF(A12="","",LARGE('Start List'!$B$15:$B$139,A12))</f>
        <v>863.38239399999998</v>
      </c>
      <c r="C12" s="76" t="str">
        <f t="shared" si="0"/>
        <v>M4</v>
      </c>
      <c r="D12" s="76">
        <f t="shared" si="1"/>
        <v>863.38239399999998</v>
      </c>
      <c r="E12" s="76" t="str">
        <f t="shared" si="2"/>
        <v>A4</v>
      </c>
      <c r="F12" s="80">
        <f>IF(COUNTIF(Data!$D$2:$D$97,$C12)=0,"",VLOOKUP($C12,Data!$D$2:$H$97,F$8,FALSE))</f>
        <v>5</v>
      </c>
      <c r="G12" s="80">
        <f>IF(COUNTIF(Data!$D$2:$D$97,$C12)=0,"",VLOOKUP($C12,Data!$D$2:$H$97,G$8,FALSE))</f>
        <v>3</v>
      </c>
      <c r="H12" s="80">
        <f>IF(COUNTIF(Data!$D$2:$D$97,$C12)=0,"",VLOOKUP($C12,Data!$D$2:$H$97,H$8,FALSE))</f>
        <v>6</v>
      </c>
      <c r="I12" s="80">
        <f>IF(COUNTIF(Data!$D$2:$D$97,$C12)=0,"",VLOOKUP($C12,Data!$D$2:$H$97,I$8,FALSE))</f>
        <v>10</v>
      </c>
      <c r="J12" s="77" t="str">
        <f>IF(A12="","",VLOOKUP($B12,'Start List'!$B$15:$Y$139,J$8,FALSE))</f>
        <v>Oborovečki Mihaela</v>
      </c>
      <c r="K12" s="77" t="str">
        <f>IF(B12="","",VLOOKUP($B12,'Start List'!$B$15:$Y$139,K$8,FALSE))</f>
        <v>CRO</v>
      </c>
      <c r="L12" s="77" t="str">
        <f>IF(J12="","",VLOOKUP($B12,'Start List'!$B$15:$Y$139,L$8,FALSE))</f>
        <v>CRO</v>
      </c>
      <c r="M12" s="79" t="str">
        <f>IF(K12="","",VLOOKUP($B12,'Start List'!$B$15:$Y$139,M$8,FALSE))</f>
        <v>W</v>
      </c>
      <c r="N12" s="150">
        <f>IF($B12="","",VLOOKUP($B12,'Start List'!$B$15:$Y$139,N$8,FALSE))</f>
        <v>276</v>
      </c>
      <c r="O12" s="80">
        <f>IF($B12="","",VLOOKUP($B12,'Start List'!$B$15:$Y$139,O$8,FALSE))</f>
        <v>9</v>
      </c>
      <c r="P12" s="80">
        <f>IF($B12="","",VLOOKUP($B12,'Start List'!$B$15:$Y$139,P$8,FALSE))</f>
        <v>6</v>
      </c>
      <c r="Q12" s="150" t="str">
        <f>IF($B12="","",VLOOKUP($B12,'Start List'!$B$15:$Y$139,Q$8,FALSE))</f>
        <v/>
      </c>
      <c r="R12" s="80">
        <f>IF($B12="","",VLOOKUP($B12,'Start List'!$B$15:$Y$139,R$8,FALSE))</f>
        <v>293</v>
      </c>
      <c r="S12" s="150">
        <f>IF($B12="","",VLOOKUP($B12,'Start List'!$B$15:$Y$139,S$8,FALSE))</f>
        <v>15</v>
      </c>
      <c r="T12" s="150">
        <f>IF($B12="","",VLOOKUP($B12,'Start List'!$B$15:$Y$139,T$8,FALSE))</f>
        <v>8</v>
      </c>
      <c r="U12" s="80" t="str">
        <f>IF($B12="","",VLOOKUP($B12,'Start List'!$B$15:$Y$139,U$8,FALSE))</f>
        <v/>
      </c>
      <c r="V12" s="80">
        <f>IF($B12="","",VLOOKUP($B12,'Start List'!$B$15:$Y$139,V$8,FALSE))</f>
        <v>294</v>
      </c>
      <c r="W12" s="150">
        <f>IF($B12="","",VLOOKUP($B12,'Start List'!$B$15:$Y$139,W$8,FALSE))</f>
        <v>14</v>
      </c>
      <c r="X12" s="80">
        <f>IF($B12="","",VLOOKUP($B12,'Start List'!$B$15:$Y$139,X$8,FALSE))</f>
        <v>10</v>
      </c>
      <c r="Y12" s="80" t="str">
        <f>IF($B12="","",VLOOKUP($B12,'Start List'!$B$15:$Y$139,Y$8,FALSE))</f>
        <v/>
      </c>
      <c r="Z12" s="217">
        <f>IF($B12="","",VLOOKUP($B12,'Start List'!$B$15:$Y$139,Z$8,FALSE))</f>
        <v>863</v>
      </c>
      <c r="AA12" s="218">
        <f>IF($B12="","",VLOOKUP($B12,'Start List'!$B$15:$Y$139,AA$8,FALSE))</f>
        <v>38</v>
      </c>
      <c r="AB12" s="218">
        <f>IF($B12="","",VLOOKUP($B12,'Start List'!$B$15:$Y$139,AB$8,FALSE))</f>
        <v>24</v>
      </c>
    </row>
    <row r="13" spans="1:28" ht="12.75" customHeight="1" x14ac:dyDescent="0.2">
      <c r="A13" s="75">
        <f>'Start List'!A19</f>
        <v>5</v>
      </c>
      <c r="B13" s="76">
        <f>IF(A13="","",LARGE('Start List'!$B$15:$B$139,A13))</f>
        <v>845.39108899999997</v>
      </c>
      <c r="C13" s="76" t="str">
        <f t="shared" si="0"/>
        <v>M5</v>
      </c>
      <c r="D13" s="76">
        <f t="shared" si="1"/>
        <v>845.39108899999997</v>
      </c>
      <c r="E13" s="76" t="str">
        <f t="shared" si="2"/>
        <v>A5</v>
      </c>
      <c r="F13" s="80">
        <f>IF(COUNTIF(Data!$D$2:$D$97,$C13)=0,"",VLOOKUP($C13,Data!$D$2:$H$97,F$8,FALSE))</f>
        <v>7</v>
      </c>
      <c r="G13" s="80">
        <f>IF(COUNTIF(Data!$D$2:$D$97,$C13)=0,"",VLOOKUP($C13,Data!$D$2:$H$97,G$8,FALSE))</f>
        <v>4</v>
      </c>
      <c r="H13" s="80">
        <f>IF(COUNTIF(Data!$D$2:$D$97,$C13)=0,"",VLOOKUP($C13,Data!$D$2:$H$97,H$8,FALSE))</f>
        <v>6</v>
      </c>
      <c r="I13" s="80">
        <f>IF(COUNTIF(Data!$D$2:$D$97,$C13)=0,"",VLOOKUP($C13,Data!$D$2:$H$97,I$8,FALSE))</f>
        <v>10</v>
      </c>
      <c r="J13" s="77" t="str">
        <f>IF(A13="","",VLOOKUP($B13,'Start List'!$B$15:$Y$139,J$8,FALSE))</f>
        <v>Oborovečki Martin</v>
      </c>
      <c r="K13" s="77" t="str">
        <f>IF(B13="","",VLOOKUP($B13,'Start List'!$B$15:$Y$139,K$8,FALSE))</f>
        <v>CRO</v>
      </c>
      <c r="L13" s="77" t="str">
        <f>IF(J13="","",VLOOKUP($B13,'Start List'!$B$15:$Y$139,L$8,FALSE))</f>
        <v>CRO</v>
      </c>
      <c r="M13" s="79" t="str">
        <f>IF(K13="","",VLOOKUP($B13,'Start List'!$B$15:$Y$139,M$8,FALSE))</f>
        <v>J</v>
      </c>
      <c r="N13" s="150">
        <f>IF($B13="","",VLOOKUP($B13,'Start List'!$B$15:$Y$139,N$8,FALSE))</f>
        <v>267</v>
      </c>
      <c r="O13" s="80">
        <f>IF($B13="","",VLOOKUP($B13,'Start List'!$B$15:$Y$139,O$8,FALSE))</f>
        <v>7</v>
      </c>
      <c r="P13" s="80">
        <f>IF($B13="","",VLOOKUP($B13,'Start List'!$B$15:$Y$139,P$8,FALSE))</f>
        <v>4</v>
      </c>
      <c r="Q13" s="150" t="str">
        <f>IF($B13="","",VLOOKUP($B13,'Start List'!$B$15:$Y$139,Q$8,FALSE))</f>
        <v/>
      </c>
      <c r="R13" s="80">
        <f>IF($B13="","",VLOOKUP($B13,'Start List'!$B$15:$Y$139,R$8,FALSE))</f>
        <v>292</v>
      </c>
      <c r="S13" s="150">
        <f>IF($B13="","",VLOOKUP($B13,'Start List'!$B$15:$Y$139,S$8,FALSE))</f>
        <v>19</v>
      </c>
      <c r="T13" s="150">
        <f>IF($B13="","",VLOOKUP($B13,'Start List'!$B$15:$Y$139,T$8,FALSE))</f>
        <v>3</v>
      </c>
      <c r="U13" s="80" t="str">
        <f>IF($B13="","",VLOOKUP($B13,'Start List'!$B$15:$Y$139,U$8,FALSE))</f>
        <v/>
      </c>
      <c r="V13" s="80">
        <f>IF($B13="","",VLOOKUP($B13,'Start List'!$B$15:$Y$139,V$8,FALSE))</f>
        <v>286</v>
      </c>
      <c r="W13" s="150">
        <f>IF($B13="","",VLOOKUP($B13,'Start List'!$B$15:$Y$139,W$8,FALSE))</f>
        <v>13</v>
      </c>
      <c r="X13" s="80">
        <f>IF($B13="","",VLOOKUP($B13,'Start List'!$B$15:$Y$139,X$8,FALSE))</f>
        <v>4</v>
      </c>
      <c r="Y13" s="80" t="str">
        <f>IF($B13="","",VLOOKUP($B13,'Start List'!$B$15:$Y$139,Y$8,FALSE))</f>
        <v/>
      </c>
      <c r="Z13" s="217">
        <f>IF($B13="","",VLOOKUP($B13,'Start List'!$B$15:$Y$139,Z$8,FALSE))</f>
        <v>845</v>
      </c>
      <c r="AA13" s="218">
        <f>IF($B13="","",VLOOKUP($B13,'Start List'!$B$15:$Y$139,AA$8,FALSE))</f>
        <v>39</v>
      </c>
      <c r="AB13" s="218">
        <f>IF($B13="","",VLOOKUP($B13,'Start List'!$B$15:$Y$139,AB$8,FALSE))</f>
        <v>11</v>
      </c>
    </row>
    <row r="14" spans="1:28" ht="12.75" customHeight="1" x14ac:dyDescent="0.2">
      <c r="A14" s="75">
        <f>'Start List'!A20</f>
        <v>6</v>
      </c>
      <c r="B14" s="76">
        <f>IF(A14="","",LARGE('Start List'!$B$15:$B$139,A14))</f>
        <v>840.3211960000001</v>
      </c>
      <c r="C14" s="76" t="str">
        <f t="shared" si="0"/>
        <v>M6</v>
      </c>
      <c r="D14" s="76">
        <f t="shared" si="1"/>
        <v>840.3211960000001</v>
      </c>
      <c r="E14" s="76" t="str">
        <f t="shared" si="2"/>
        <v>A6</v>
      </c>
      <c r="F14" s="80">
        <f>IF(COUNTIF(Data!$D$2:$D$97,$C14)=0,"",VLOOKUP($C14,Data!$D$2:$H$97,F$8,FALSE))</f>
        <v>15</v>
      </c>
      <c r="G14" s="80">
        <f>IF(COUNTIF(Data!$D$2:$D$97,$C14)=0,"",VLOOKUP($C14,Data!$D$2:$H$97,G$8,FALSE))</f>
        <v>8</v>
      </c>
      <c r="H14" s="80">
        <f>IF(COUNTIF(Data!$D$2:$D$97,$C14)=0,"",VLOOKUP($C14,Data!$D$2:$H$97,H$8,FALSE))</f>
        <v>3</v>
      </c>
      <c r="I14" s="80">
        <f>IF(COUNTIF(Data!$D$2:$D$97,$C14)=0,"",VLOOKUP($C14,Data!$D$2:$H$97,I$8,FALSE))</f>
        <v>11</v>
      </c>
      <c r="J14" s="77" t="str">
        <f>IF(A14="","",VLOOKUP($B14,'Start List'!$B$15:$Y$139,J$8,FALSE))</f>
        <v>Sváb Sándor</v>
      </c>
      <c r="K14" s="77" t="str">
        <f>IF(B14="","",VLOOKUP($B14,'Start List'!$B$15:$Y$139,K$8,FALSE))</f>
        <v>HUN - Hungarian Shooting Federation</v>
      </c>
      <c r="L14" s="77" t="str">
        <f>IF(J14="","",VLOOKUP($B14,'Start List'!$B$15:$Y$139,L$8,FALSE))</f>
        <v>HUN - Hungarian Shooting Federation</v>
      </c>
      <c r="M14" s="79" t="str">
        <f>IF(K14="","",VLOOKUP($B14,'Start List'!$B$15:$Y$139,M$8,FALSE))</f>
        <v>M</v>
      </c>
      <c r="N14" s="150">
        <f>IF($B14="","",VLOOKUP($B14,'Start List'!$B$15:$Y$139,N$8,FALSE))</f>
        <v>268</v>
      </c>
      <c r="O14" s="80">
        <f>IF($B14="","",VLOOKUP($B14,'Start List'!$B$15:$Y$139,O$8,FALSE))</f>
        <v>7</v>
      </c>
      <c r="P14" s="80">
        <f>IF($B14="","",VLOOKUP($B14,'Start List'!$B$15:$Y$139,P$8,FALSE))</f>
        <v>1</v>
      </c>
      <c r="Q14" s="150" t="str">
        <f>IF($B14="","",VLOOKUP($B14,'Start List'!$B$15:$Y$139,Q$8,FALSE))</f>
        <v/>
      </c>
      <c r="R14" s="80">
        <f>IF($B14="","",VLOOKUP($B14,'Start List'!$B$15:$Y$139,R$8,FALSE))</f>
        <v>283</v>
      </c>
      <c r="S14" s="150">
        <f>IF($B14="","",VLOOKUP($B14,'Start List'!$B$15:$Y$139,S$8,FALSE))</f>
        <v>12</v>
      </c>
      <c r="T14" s="150">
        <f>IF($B14="","",VLOOKUP($B14,'Start List'!$B$15:$Y$139,T$8,FALSE))</f>
        <v>4</v>
      </c>
      <c r="U14" s="80" t="str">
        <f>IF($B14="","",VLOOKUP($B14,'Start List'!$B$15:$Y$139,U$8,FALSE))</f>
        <v/>
      </c>
      <c r="V14" s="80">
        <f>IF($B14="","",VLOOKUP($B14,'Start List'!$B$15:$Y$139,V$8,FALSE))</f>
        <v>289</v>
      </c>
      <c r="W14" s="150">
        <f>IF($B14="","",VLOOKUP($B14,'Start List'!$B$15:$Y$139,W$8,FALSE))</f>
        <v>13</v>
      </c>
      <c r="X14" s="80">
        <f>IF($B14="","",VLOOKUP($B14,'Start List'!$B$15:$Y$139,X$8,FALSE))</f>
        <v>7</v>
      </c>
      <c r="Y14" s="80" t="str">
        <f>IF($B14="","",VLOOKUP($B14,'Start List'!$B$15:$Y$139,Y$8,FALSE))</f>
        <v/>
      </c>
      <c r="Z14" s="217">
        <f>IF($B14="","",VLOOKUP($B14,'Start List'!$B$15:$Y$139,Z$8,FALSE))</f>
        <v>840</v>
      </c>
      <c r="AA14" s="218">
        <f>IF($B14="","",VLOOKUP($B14,'Start List'!$B$15:$Y$139,AA$8,FALSE))</f>
        <v>32</v>
      </c>
      <c r="AB14" s="218">
        <f>IF($B14="","",VLOOKUP($B14,'Start List'!$B$15:$Y$139,AB$8,FALSE))</f>
        <v>12</v>
      </c>
    </row>
    <row r="15" spans="1:28" ht="12.75" customHeight="1" x14ac:dyDescent="0.2">
      <c r="A15" s="75">
        <f>'Start List'!A21</f>
        <v>7</v>
      </c>
      <c r="B15" s="76">
        <f>IF(A15="","",LARGE('Start List'!$B$15:$B$139,A15))</f>
        <v>827.29118600000004</v>
      </c>
      <c r="C15" s="76" t="str">
        <f t="shared" si="0"/>
        <v>M7</v>
      </c>
      <c r="D15" s="76">
        <f t="shared" si="1"/>
        <v>827.29118600000004</v>
      </c>
      <c r="E15" s="76" t="str">
        <f t="shared" si="2"/>
        <v>A7</v>
      </c>
      <c r="F15" s="80">
        <f>IF(COUNTIF(Data!$D$2:$D$97,$C15)=0,"",VLOOKUP($C15,Data!$D$2:$H$97,F$8,FALSE))</f>
        <v>11</v>
      </c>
      <c r="G15" s="80">
        <f>IF(COUNTIF(Data!$D$2:$D$97,$C15)=0,"",VLOOKUP($C15,Data!$D$2:$H$97,G$8,FALSE))</f>
        <v>6</v>
      </c>
      <c r="H15" s="80">
        <f>IF(COUNTIF(Data!$D$2:$D$97,$C15)=0,"",VLOOKUP($C15,Data!$D$2:$H$97,H$8,FALSE))</f>
        <v>2</v>
      </c>
      <c r="I15" s="80">
        <f>IF(COUNTIF(Data!$D$2:$D$97,$C15)=0,"",VLOOKUP($C15,Data!$D$2:$H$97,I$8,FALSE))</f>
        <v>11</v>
      </c>
      <c r="J15" s="77" t="str">
        <f>IF(A15="","",VLOOKUP($B15,'Start List'!$B$15:$Y$139,J$8,FALSE))</f>
        <v>Petar Blagec</v>
      </c>
      <c r="K15" s="77" t="str">
        <f>IF(B15="","",VLOOKUP($B15,'Start List'!$B$15:$Y$139,K$8,FALSE))</f>
        <v>CRO</v>
      </c>
      <c r="L15" s="77" t="str">
        <f>IF(J15="","",VLOOKUP($B15,'Start List'!$B$15:$Y$139,L$8,FALSE))</f>
        <v>CRO</v>
      </c>
      <c r="M15" s="79" t="str">
        <f>IF(K15="","",VLOOKUP($B15,'Start List'!$B$15:$Y$139,M$8,FALSE))</f>
        <v>C</v>
      </c>
      <c r="N15" s="150">
        <f>IF($B15="","",VLOOKUP($B15,'Start List'!$B$15:$Y$139,N$8,FALSE))</f>
        <v>263</v>
      </c>
      <c r="O15" s="80">
        <f>IF($B15="","",VLOOKUP($B15,'Start List'!$B$15:$Y$139,O$8,FALSE))</f>
        <v>8</v>
      </c>
      <c r="P15" s="80">
        <f>IF($B15="","",VLOOKUP($B15,'Start List'!$B$15:$Y$139,P$8,FALSE))</f>
        <v>1</v>
      </c>
      <c r="Q15" s="150" t="str">
        <f>IF($B15="","",VLOOKUP($B15,'Start List'!$B$15:$Y$139,Q$8,FALSE))</f>
        <v/>
      </c>
      <c r="R15" s="80">
        <f>IF($B15="","",VLOOKUP($B15,'Start List'!$B$15:$Y$139,R$8,FALSE))</f>
        <v>279</v>
      </c>
      <c r="S15" s="150">
        <f>IF($B15="","",VLOOKUP($B15,'Start List'!$B$15:$Y$139,S$8,FALSE))</f>
        <v>8</v>
      </c>
      <c r="T15" s="150">
        <f>IF($B15="","",VLOOKUP($B15,'Start List'!$B$15:$Y$139,T$8,FALSE))</f>
        <v>6</v>
      </c>
      <c r="U15" s="80" t="str">
        <f>IF($B15="","",VLOOKUP($B15,'Start List'!$B$15:$Y$139,U$8,FALSE))</f>
        <v/>
      </c>
      <c r="V15" s="80">
        <f>IF($B15="","",VLOOKUP($B15,'Start List'!$B$15:$Y$139,V$8,FALSE))</f>
        <v>285</v>
      </c>
      <c r="W15" s="150">
        <f>IF($B15="","",VLOOKUP($B15,'Start List'!$B$15:$Y$139,W$8,FALSE))</f>
        <v>13</v>
      </c>
      <c r="X15" s="80">
        <f>IF($B15="","",VLOOKUP($B15,'Start List'!$B$15:$Y$139,X$8,FALSE))</f>
        <v>5</v>
      </c>
      <c r="Y15" s="80" t="str">
        <f>IF($B15="","",VLOOKUP($B15,'Start List'!$B$15:$Y$139,Y$8,FALSE))</f>
        <v/>
      </c>
      <c r="Z15" s="217">
        <f>IF($B15="","",VLOOKUP($B15,'Start List'!$B$15:$Y$139,Z$8,FALSE))</f>
        <v>827</v>
      </c>
      <c r="AA15" s="218">
        <f>IF($B15="","",VLOOKUP($B15,'Start List'!$B$15:$Y$139,AA$8,FALSE))</f>
        <v>29</v>
      </c>
      <c r="AB15" s="218">
        <f>IF($B15="","",VLOOKUP($B15,'Start List'!$B$15:$Y$139,AB$8,FALSE))</f>
        <v>12</v>
      </c>
    </row>
    <row r="16" spans="1:28" s="81" customFormat="1" ht="12.75" customHeight="1" x14ac:dyDescent="0.2">
      <c r="A16" s="75">
        <f>'Start List'!A22</f>
        <v>8</v>
      </c>
      <c r="B16" s="76">
        <f>IF(A16="","",LARGE('Start List'!$B$15:$B$139,A16))</f>
        <v>824.18168200000002</v>
      </c>
      <c r="C16" s="76" t="str">
        <f t="shared" si="0"/>
        <v>M8</v>
      </c>
      <c r="D16" s="76">
        <f t="shared" si="1"/>
        <v>824.18168200000002</v>
      </c>
      <c r="E16" s="76" t="str">
        <f t="shared" si="2"/>
        <v>A8</v>
      </c>
      <c r="F16" s="80">
        <f>IF(COUNTIF(Data!$D$2:$D$97,$C16)=0,"",VLOOKUP($C16,Data!$D$2:$H$97,F$8,FALSE))</f>
        <v>3</v>
      </c>
      <c r="G16" s="80">
        <f>IF(COUNTIF(Data!$D$2:$D$97,$C16)=0,"",VLOOKUP($C16,Data!$D$2:$H$97,G$8,FALSE))</f>
        <v>2</v>
      </c>
      <c r="H16" s="80">
        <f>IF(COUNTIF(Data!$D$2:$D$97,$C16)=0,"",VLOOKUP($C16,Data!$D$2:$H$97,H$8,FALSE))</f>
        <v>5</v>
      </c>
      <c r="I16" s="80">
        <f>IF(COUNTIF(Data!$D$2:$D$97,$C16)=0,"",VLOOKUP($C16,Data!$D$2:$H$97,I$8,FALSE))</f>
        <v>10</v>
      </c>
      <c r="J16" s="77" t="str">
        <f>IF(A16="","",VLOOKUP($B16,'Start List'!$B$15:$Y$139,J$8,FALSE))</f>
        <v>Karla Bartolović</v>
      </c>
      <c r="K16" s="77" t="str">
        <f>IF(B16="","",VLOOKUP($B16,'Start List'!$B$15:$Y$139,K$8,FALSE))</f>
        <v>CRO</v>
      </c>
      <c r="L16" s="77" t="str">
        <f>IF(J16="","",VLOOKUP($B16,'Start List'!$B$15:$Y$139,L$8,FALSE))</f>
        <v>CRO</v>
      </c>
      <c r="M16" s="79" t="str">
        <f>IF(K16="","",VLOOKUP($B16,'Start List'!$B$15:$Y$139,M$8,FALSE))</f>
        <v>C</v>
      </c>
      <c r="N16" s="150">
        <f>IF($B16="","",VLOOKUP($B16,'Start List'!$B$15:$Y$139,N$8,FALSE))</f>
        <v>264</v>
      </c>
      <c r="O16" s="80">
        <f>IF($B16="","",VLOOKUP($B16,'Start List'!$B$15:$Y$139,O$8,FALSE))</f>
        <v>4</v>
      </c>
      <c r="P16" s="80">
        <f>IF($B16="","",VLOOKUP($B16,'Start List'!$B$15:$Y$139,P$8,FALSE))</f>
        <v>4</v>
      </c>
      <c r="Q16" s="150" t="str">
        <f>IF($B16="","",VLOOKUP($B16,'Start List'!$B$15:$Y$139,Q$8,FALSE))</f>
        <v/>
      </c>
      <c r="R16" s="80">
        <f>IF($B16="","",VLOOKUP($B16,'Start List'!$B$15:$Y$139,R$8,FALSE))</f>
        <v>271</v>
      </c>
      <c r="S16" s="150">
        <f>IF($B16="","",VLOOKUP($B16,'Start List'!$B$15:$Y$139,S$8,FALSE))</f>
        <v>3</v>
      </c>
      <c r="T16" s="150">
        <f>IF($B16="","",VLOOKUP($B16,'Start List'!$B$15:$Y$139,T$8,FALSE))</f>
        <v>5</v>
      </c>
      <c r="U16" s="80" t="str">
        <f>IF($B16="","",VLOOKUP($B16,'Start List'!$B$15:$Y$139,U$8,FALSE))</f>
        <v/>
      </c>
      <c r="V16" s="80">
        <f>IF($B16="","",VLOOKUP($B16,'Start List'!$B$15:$Y$139,V$8,FALSE))</f>
        <v>289</v>
      </c>
      <c r="W16" s="150">
        <f>IF($B16="","",VLOOKUP($B16,'Start List'!$B$15:$Y$139,W$8,FALSE))</f>
        <v>11</v>
      </c>
      <c r="X16" s="80">
        <f>IF($B16="","",VLOOKUP($B16,'Start List'!$B$15:$Y$139,X$8,FALSE))</f>
        <v>8</v>
      </c>
      <c r="Y16" s="80" t="str">
        <f>IF($B16="","",VLOOKUP($B16,'Start List'!$B$15:$Y$139,Y$8,FALSE))</f>
        <v/>
      </c>
      <c r="Z16" s="217">
        <f>IF($B16="","",VLOOKUP($B16,'Start List'!$B$15:$Y$139,Z$8,FALSE))</f>
        <v>824</v>
      </c>
      <c r="AA16" s="218">
        <f>IF($B16="","",VLOOKUP($B16,'Start List'!$B$15:$Y$139,AA$8,FALSE))</f>
        <v>18</v>
      </c>
      <c r="AB16" s="218">
        <f>IF($B16="","",VLOOKUP($B16,'Start List'!$B$15:$Y$139,AB$8,FALSE))</f>
        <v>17</v>
      </c>
    </row>
    <row r="17" spans="1:28" s="82" customFormat="1" ht="12.75" customHeight="1" x14ac:dyDescent="0.2">
      <c r="A17" s="75">
        <f>'Start List'!A23</f>
        <v>9</v>
      </c>
      <c r="B17" s="76">
        <f>IF(A17="","",LARGE('Start List'!$B$15:$B$139,A17))</f>
        <v>817.21138700000006</v>
      </c>
      <c r="C17" s="76" t="str">
        <f t="shared" si="0"/>
        <v>M9</v>
      </c>
      <c r="D17" s="76">
        <f t="shared" si="1"/>
        <v>817.21138700000006</v>
      </c>
      <c r="E17" s="76" t="str">
        <f t="shared" si="2"/>
        <v>A9</v>
      </c>
      <c r="F17" s="80">
        <f>IF(COUNTIF(Data!$D$2:$D$97,$C17)=0,"",VLOOKUP($C17,Data!$D$2:$H$97,F$8,FALSE))</f>
        <v>4</v>
      </c>
      <c r="G17" s="80">
        <f>IF(COUNTIF(Data!$D$2:$D$97,$C17)=0,"",VLOOKUP($C17,Data!$D$2:$H$97,G$8,FALSE))</f>
        <v>2</v>
      </c>
      <c r="H17" s="80">
        <f>IF(COUNTIF(Data!$D$2:$D$97,$C17)=0,"",VLOOKUP($C17,Data!$D$2:$H$97,H$8,FALSE))</f>
        <v>5</v>
      </c>
      <c r="I17" s="80">
        <f>IF(COUNTIF(Data!$D$2:$D$97,$C17)=0,"",VLOOKUP($C17,Data!$D$2:$H$97,I$8,FALSE))</f>
        <v>10</v>
      </c>
      <c r="J17" s="77" t="str">
        <f>IF(A17="","",VLOOKUP($B17,'Start List'!$B$15:$Y$139,J$8,FALSE))</f>
        <v>Iva Popović-Gecan</v>
      </c>
      <c r="K17" s="77" t="str">
        <f>IF(B17="","",VLOOKUP($B17,'Start List'!$B$15:$Y$139,K$8,FALSE))</f>
        <v>CRO</v>
      </c>
      <c r="L17" s="77" t="str">
        <f>IF(J17="","",VLOOKUP($B17,'Start List'!$B$15:$Y$139,L$8,FALSE))</f>
        <v>CRO</v>
      </c>
      <c r="M17" s="79" t="str">
        <f>IF(K17="","",VLOOKUP($B17,'Start List'!$B$15:$Y$139,M$8,FALSE))</f>
        <v>J</v>
      </c>
      <c r="N17" s="150">
        <f>IF($B17="","",VLOOKUP($B17,'Start List'!$B$15:$Y$139,N$8,FALSE))</f>
        <v>257</v>
      </c>
      <c r="O17" s="80">
        <f>IF($B17="","",VLOOKUP($B17,'Start List'!$B$15:$Y$139,O$8,FALSE))</f>
        <v>4</v>
      </c>
      <c r="P17" s="80">
        <f>IF($B17="","",VLOOKUP($B17,'Start List'!$B$15:$Y$139,P$8,FALSE))</f>
        <v>4</v>
      </c>
      <c r="Q17" s="150" t="str">
        <f>IF($B17="","",VLOOKUP($B17,'Start List'!$B$15:$Y$139,Q$8,FALSE))</f>
        <v/>
      </c>
      <c r="R17" s="80">
        <f>IF($B17="","",VLOOKUP($B17,'Start List'!$B$15:$Y$139,R$8,FALSE))</f>
        <v>280</v>
      </c>
      <c r="S17" s="150">
        <f>IF($B17="","",VLOOKUP($B17,'Start List'!$B$15:$Y$139,S$8,FALSE))</f>
        <v>10</v>
      </c>
      <c r="T17" s="150">
        <f>IF($B17="","",VLOOKUP($B17,'Start List'!$B$15:$Y$139,T$8,FALSE))</f>
        <v>4</v>
      </c>
      <c r="U17" s="80" t="str">
        <f>IF($B17="","",VLOOKUP($B17,'Start List'!$B$15:$Y$139,U$8,FALSE))</f>
        <v/>
      </c>
      <c r="V17" s="80">
        <f>IF($B17="","",VLOOKUP($B17,'Start List'!$B$15:$Y$139,V$8,FALSE))</f>
        <v>280</v>
      </c>
      <c r="W17" s="150">
        <f>IF($B17="","",VLOOKUP($B17,'Start List'!$B$15:$Y$139,W$8,FALSE))</f>
        <v>7</v>
      </c>
      <c r="X17" s="80">
        <f>IF($B17="","",VLOOKUP($B17,'Start List'!$B$15:$Y$139,X$8,FALSE))</f>
        <v>6</v>
      </c>
      <c r="Y17" s="80" t="str">
        <f>IF($B17="","",VLOOKUP($B17,'Start List'!$B$15:$Y$139,Y$8,FALSE))</f>
        <v/>
      </c>
      <c r="Z17" s="217">
        <f>IF($B17="","",VLOOKUP($B17,'Start List'!$B$15:$Y$139,Z$8,FALSE))</f>
        <v>817</v>
      </c>
      <c r="AA17" s="218">
        <f>IF($B17="","",VLOOKUP($B17,'Start List'!$B$15:$Y$139,AA$8,FALSE))</f>
        <v>21</v>
      </c>
      <c r="AB17" s="218">
        <f>IF($B17="","",VLOOKUP($B17,'Start List'!$B$15:$Y$139,AB$8,FALSE))</f>
        <v>14</v>
      </c>
    </row>
    <row r="18" spans="1:28" s="82" customFormat="1" ht="12.75" customHeight="1" x14ac:dyDescent="0.2">
      <c r="A18" s="75">
        <f>'Start List'!A24</f>
        <v>10</v>
      </c>
      <c r="B18" s="76">
        <f>IF(A18="","",LARGE('Start List'!$B$15:$B$139,A18))</f>
        <v>810.17109699999992</v>
      </c>
      <c r="C18" s="76" t="str">
        <f t="shared" si="0"/>
        <v>M10</v>
      </c>
      <c r="D18" s="76">
        <f t="shared" si="1"/>
        <v>810.17109699999992</v>
      </c>
      <c r="E18" s="76" t="str">
        <f t="shared" si="2"/>
        <v>A10</v>
      </c>
      <c r="F18" s="80">
        <f>IF(COUNTIF(Data!$D$2:$D$97,$C18)=0,"",VLOOKUP($C18,Data!$D$2:$H$97,F$8,FALSE))</f>
        <v>12</v>
      </c>
      <c r="G18" s="80">
        <f>IF(COUNTIF(Data!$D$2:$D$97,$C18)=0,"",VLOOKUP($C18,Data!$D$2:$H$97,G$8,FALSE))</f>
        <v>6</v>
      </c>
      <c r="H18" s="80">
        <f>IF(COUNTIF(Data!$D$2:$D$97,$C18)=0,"",VLOOKUP($C18,Data!$D$2:$H$97,H$8,FALSE))</f>
        <v>2</v>
      </c>
      <c r="I18" s="80">
        <f>IF(COUNTIF(Data!$D$2:$D$97,$C18)=0,"",VLOOKUP($C18,Data!$D$2:$H$97,I$8,FALSE))</f>
        <v>11</v>
      </c>
      <c r="J18" s="77" t="str">
        <f>IF(A18="","",VLOOKUP($B18,'Start List'!$B$15:$Y$139,J$8,FALSE))</f>
        <v xml:space="preserve">Tijan Željko </v>
      </c>
      <c r="K18" s="77" t="str">
        <f>IF(B18="","",VLOOKUP($B18,'Start List'!$B$15:$Y$139,K$8,FALSE))</f>
        <v>CRO</v>
      </c>
      <c r="L18" s="77" t="str">
        <f>IF(J18="","",VLOOKUP($B18,'Start List'!$B$15:$Y$139,L$8,FALSE))</f>
        <v>CRO</v>
      </c>
      <c r="M18" s="79" t="str">
        <f>IF(K18="","",VLOOKUP($B18,'Start List'!$B$15:$Y$139,M$8,FALSE))</f>
        <v>M</v>
      </c>
      <c r="N18" s="150">
        <f>IF($B18="","",VLOOKUP($B18,'Start List'!$B$15:$Y$139,N$8,FALSE))</f>
        <v>256</v>
      </c>
      <c r="O18" s="80">
        <f>IF($B18="","",VLOOKUP($B18,'Start List'!$B$15:$Y$139,O$8,FALSE))</f>
        <v>3</v>
      </c>
      <c r="P18" s="80">
        <f>IF($B18="","",VLOOKUP($B18,'Start List'!$B$15:$Y$139,P$8,FALSE))</f>
        <v>2</v>
      </c>
      <c r="Q18" s="150" t="str">
        <f>IF($B18="","",VLOOKUP($B18,'Start List'!$B$15:$Y$139,Q$8,FALSE))</f>
        <v/>
      </c>
      <c r="R18" s="80">
        <f>IF($B18="","",VLOOKUP($B18,'Start List'!$B$15:$Y$139,R$8,FALSE))</f>
        <v>277</v>
      </c>
      <c r="S18" s="150">
        <f>IF($B18="","",VLOOKUP($B18,'Start List'!$B$15:$Y$139,S$8,FALSE))</f>
        <v>6</v>
      </c>
      <c r="T18" s="150">
        <f>IF($B18="","",VLOOKUP($B18,'Start List'!$B$15:$Y$139,T$8,FALSE))</f>
        <v>4</v>
      </c>
      <c r="U18" s="80" t="str">
        <f>IF($B18="","",VLOOKUP($B18,'Start List'!$B$15:$Y$139,U$8,FALSE))</f>
        <v/>
      </c>
      <c r="V18" s="80">
        <f>IF($B18="","",VLOOKUP($B18,'Start List'!$B$15:$Y$139,V$8,FALSE))</f>
        <v>277</v>
      </c>
      <c r="W18" s="150">
        <f>IF($B18="","",VLOOKUP($B18,'Start List'!$B$15:$Y$139,W$8,FALSE))</f>
        <v>8</v>
      </c>
      <c r="X18" s="80">
        <f>IF($B18="","",VLOOKUP($B18,'Start List'!$B$15:$Y$139,X$8,FALSE))</f>
        <v>5</v>
      </c>
      <c r="Y18" s="80" t="str">
        <f>IF($B18="","",VLOOKUP($B18,'Start List'!$B$15:$Y$139,Y$8,FALSE))</f>
        <v/>
      </c>
      <c r="Z18" s="217">
        <f>IF($B18="","",VLOOKUP($B18,'Start List'!$B$15:$Y$139,Z$8,FALSE))</f>
        <v>810</v>
      </c>
      <c r="AA18" s="218">
        <f>IF($B18="","",VLOOKUP($B18,'Start List'!$B$15:$Y$139,AA$8,FALSE))</f>
        <v>17</v>
      </c>
      <c r="AB18" s="218">
        <f>IF($B18="","",VLOOKUP($B18,'Start List'!$B$15:$Y$139,AB$8,FALSE))</f>
        <v>11</v>
      </c>
    </row>
    <row r="19" spans="1:28" s="83" customFormat="1" ht="12.75" customHeight="1" x14ac:dyDescent="0.2">
      <c r="A19" s="75">
        <f>'Start List'!A25</f>
        <v>11</v>
      </c>
      <c r="B19" s="76">
        <f>IF(A19="","",LARGE('Start List'!$B$15:$B$139,A19))</f>
        <v>804.22098400000004</v>
      </c>
      <c r="C19" s="76" t="str">
        <f t="shared" si="0"/>
        <v>M11</v>
      </c>
      <c r="D19" s="76">
        <f t="shared" si="1"/>
        <v>804.22098400000004</v>
      </c>
      <c r="E19" s="76" t="str">
        <f t="shared" si="2"/>
        <v>A11</v>
      </c>
      <c r="F19" s="80">
        <f>IF(COUNTIF(Data!$D$2:$D$97,$C19)=0,"",VLOOKUP($C19,Data!$D$2:$H$97,F$8,FALSE))</f>
        <v>16</v>
      </c>
      <c r="G19" s="80">
        <f>IF(COUNTIF(Data!$D$2:$D$97,$C19)=0,"",VLOOKUP($C19,Data!$D$2:$H$97,G$8,FALSE))</f>
        <v>8</v>
      </c>
      <c r="H19" s="80">
        <f>IF(COUNTIF(Data!$D$2:$D$97,$C19)=0,"",VLOOKUP($C19,Data!$D$2:$H$97,H$8,FALSE))</f>
        <v>3</v>
      </c>
      <c r="I19" s="80">
        <f>IF(COUNTIF(Data!$D$2:$D$97,$C19)=0,"",VLOOKUP($C19,Data!$D$2:$H$97,I$8,FALSE))</f>
        <v>11</v>
      </c>
      <c r="J19" s="77" t="str">
        <f>IF(A19="","",VLOOKUP($B19,'Start List'!$B$15:$Y$139,J$8,FALSE))</f>
        <v>Petra Petak</v>
      </c>
      <c r="K19" s="77" t="str">
        <f>IF(B19="","",VLOOKUP($B19,'Start List'!$B$15:$Y$139,K$8,FALSE))</f>
        <v>CRO</v>
      </c>
      <c r="L19" s="77" t="str">
        <f>IF(J19="","",VLOOKUP($B19,'Start List'!$B$15:$Y$139,L$8,FALSE))</f>
        <v>CRO</v>
      </c>
      <c r="M19" s="79" t="str">
        <f>IF(K19="","",VLOOKUP($B19,'Start List'!$B$15:$Y$139,M$8,FALSE))</f>
        <v>C</v>
      </c>
      <c r="N19" s="150">
        <f>IF($B19="","",VLOOKUP($B19,'Start List'!$B$15:$Y$139,N$8,FALSE))</f>
        <v>250</v>
      </c>
      <c r="O19" s="80">
        <f>IF($B19="","",VLOOKUP($B19,'Start List'!$B$15:$Y$139,O$8,FALSE))</f>
        <v>7</v>
      </c>
      <c r="P19" s="80">
        <f>IF($B19="","",VLOOKUP($B19,'Start List'!$B$15:$Y$139,P$8,FALSE))</f>
        <v>1</v>
      </c>
      <c r="Q19" s="150" t="str">
        <f>IF($B19="","",VLOOKUP($B19,'Start List'!$B$15:$Y$139,Q$8,FALSE))</f>
        <v/>
      </c>
      <c r="R19" s="80">
        <f>IF($B19="","",VLOOKUP($B19,'Start List'!$B$15:$Y$139,R$8,FALSE))</f>
        <v>281</v>
      </c>
      <c r="S19" s="150">
        <f>IF($B19="","",VLOOKUP($B19,'Start List'!$B$15:$Y$139,S$8,FALSE))</f>
        <v>11</v>
      </c>
      <c r="T19" s="150">
        <f>IF($B19="","",VLOOKUP($B19,'Start List'!$B$15:$Y$139,T$8,FALSE))</f>
        <v>5</v>
      </c>
      <c r="U19" s="80" t="str">
        <f>IF($B19="","",VLOOKUP($B19,'Start List'!$B$15:$Y$139,U$8,FALSE))</f>
        <v/>
      </c>
      <c r="V19" s="80">
        <f>IF($B19="","",VLOOKUP($B19,'Start List'!$B$15:$Y$139,V$8,FALSE))</f>
        <v>273</v>
      </c>
      <c r="W19" s="150">
        <f>IF($B19="","",VLOOKUP($B19,'Start List'!$B$15:$Y$139,W$8,FALSE))</f>
        <v>4</v>
      </c>
      <c r="X19" s="80">
        <f>IF($B19="","",VLOOKUP($B19,'Start List'!$B$15:$Y$139,X$8,FALSE))</f>
        <v>4</v>
      </c>
      <c r="Y19" s="80" t="str">
        <f>IF($B19="","",VLOOKUP($B19,'Start List'!$B$15:$Y$139,Y$8,FALSE))</f>
        <v/>
      </c>
      <c r="Z19" s="217">
        <f>IF($B19="","",VLOOKUP($B19,'Start List'!$B$15:$Y$139,Z$8,FALSE))</f>
        <v>804</v>
      </c>
      <c r="AA19" s="218">
        <f>IF($B19="","",VLOOKUP($B19,'Start List'!$B$15:$Y$139,AA$8,FALSE))</f>
        <v>22</v>
      </c>
      <c r="AB19" s="218">
        <f>IF($B19="","",VLOOKUP($B19,'Start List'!$B$15:$Y$139,AB$8,FALSE))</f>
        <v>10</v>
      </c>
    </row>
    <row r="20" spans="1:28" s="83" customFormat="1" ht="12.75" customHeight="1" collapsed="1" x14ac:dyDescent="0.2">
      <c r="A20" s="75">
        <f>'Start List'!A26</f>
        <v>12</v>
      </c>
      <c r="B20" s="76">
        <f>IF(A20="","",LARGE('Start List'!$B$15:$B$139,A20))</f>
        <v>802.24077599999998</v>
      </c>
      <c r="C20" s="76" t="str">
        <f t="shared" si="0"/>
        <v>M12</v>
      </c>
      <c r="D20" s="76">
        <f t="shared" si="1"/>
        <v>802.24077599999998</v>
      </c>
      <c r="E20" s="76" t="str">
        <f t="shared" si="2"/>
        <v>A12</v>
      </c>
      <c r="F20" s="80">
        <f>IF(COUNTIF(Data!$D$2:$D$97,$C20)=0,"",VLOOKUP($C20,Data!$D$2:$H$97,F$8,FALSE))</f>
        <v>8</v>
      </c>
      <c r="G20" s="80">
        <f>IF(COUNTIF(Data!$D$2:$D$97,$C20)=0,"",VLOOKUP($C20,Data!$D$2:$H$97,G$8,FALSE))</f>
        <v>4</v>
      </c>
      <c r="H20" s="80">
        <f>IF(COUNTIF(Data!$D$2:$D$97,$C20)=0,"",VLOOKUP($C20,Data!$D$2:$H$97,H$8,FALSE))</f>
        <v>6</v>
      </c>
      <c r="I20" s="80">
        <f>IF(COUNTIF(Data!$D$2:$D$97,$C20)=0,"",VLOOKUP($C20,Data!$D$2:$H$97,I$8,FALSE))</f>
        <v>10</v>
      </c>
      <c r="J20" s="77" t="str">
        <f>IF(A20="","",VLOOKUP($B20,'Start List'!$B$15:$Y$139,J$8,FALSE))</f>
        <v>Nedělník Josef</v>
      </c>
      <c r="K20" s="77" t="str">
        <f>IF(B20="","",VLOOKUP($B20,'Start List'!$B$15:$Y$139,K$8,FALSE))</f>
        <v>CZE - Savana</v>
      </c>
      <c r="L20" s="77" t="str">
        <f>IF(J20="","",VLOOKUP($B20,'Start List'!$B$15:$Y$139,L$8,FALSE))</f>
        <v>CZE - Savana</v>
      </c>
      <c r="M20" s="79" t="str">
        <f>IF(K20="","",VLOOKUP($B20,'Start List'!$B$15:$Y$139,M$8,FALSE))</f>
        <v>SM</v>
      </c>
      <c r="N20" s="150">
        <f>IF($B20="","",VLOOKUP($B20,'Start List'!$B$15:$Y$139,N$8,FALSE))</f>
        <v>253</v>
      </c>
      <c r="O20" s="80">
        <f>IF($B20="","",VLOOKUP($B20,'Start List'!$B$15:$Y$139,O$8,FALSE))</f>
        <v>4</v>
      </c>
      <c r="P20" s="80">
        <f>IF($B20="","",VLOOKUP($B20,'Start List'!$B$15:$Y$139,P$8,FALSE))</f>
        <v>3</v>
      </c>
      <c r="Q20" s="150" t="str">
        <f>IF($B20="","",VLOOKUP($B20,'Start List'!$B$15:$Y$139,Q$8,FALSE))</f>
        <v/>
      </c>
      <c r="R20" s="80">
        <f>IF($B20="","",VLOOKUP($B20,'Start List'!$B$15:$Y$139,R$8,FALSE))</f>
        <v>263</v>
      </c>
      <c r="S20" s="150">
        <f>IF($B20="","",VLOOKUP($B20,'Start List'!$B$15:$Y$139,S$8,FALSE))</f>
        <v>7</v>
      </c>
      <c r="T20" s="150">
        <f>IF($B20="","",VLOOKUP($B20,'Start List'!$B$15:$Y$139,T$8,FALSE))</f>
        <v>0</v>
      </c>
      <c r="U20" s="80" t="str">
        <f>IF($B20="","",VLOOKUP($B20,'Start List'!$B$15:$Y$139,U$8,FALSE))</f>
        <v/>
      </c>
      <c r="V20" s="80">
        <f>IF($B20="","",VLOOKUP($B20,'Start List'!$B$15:$Y$139,V$8,FALSE))</f>
        <v>286</v>
      </c>
      <c r="W20" s="150">
        <f>IF($B20="","",VLOOKUP($B20,'Start List'!$B$15:$Y$139,W$8,FALSE))</f>
        <v>13</v>
      </c>
      <c r="X20" s="80">
        <f>IF($B20="","",VLOOKUP($B20,'Start List'!$B$15:$Y$139,X$8,FALSE))</f>
        <v>5</v>
      </c>
      <c r="Y20" s="80" t="str">
        <f>IF($B20="","",VLOOKUP($B20,'Start List'!$B$15:$Y$139,Y$8,FALSE))</f>
        <v/>
      </c>
      <c r="Z20" s="217">
        <f>IF($B20="","",VLOOKUP($B20,'Start List'!$B$15:$Y$139,Z$8,FALSE))</f>
        <v>802</v>
      </c>
      <c r="AA20" s="218">
        <f>IF($B20="","",VLOOKUP($B20,'Start List'!$B$15:$Y$139,AA$8,FALSE))</f>
        <v>24</v>
      </c>
      <c r="AB20" s="218">
        <f>IF($B20="","",VLOOKUP($B20,'Start List'!$B$15:$Y$139,AB$8,FALSE))</f>
        <v>8</v>
      </c>
    </row>
    <row r="21" spans="1:28" s="83" customFormat="1" ht="12.75" customHeight="1" collapsed="1" x14ac:dyDescent="0.2">
      <c r="A21" s="75">
        <f>'Start List'!A27</f>
        <v>13</v>
      </c>
      <c r="B21" s="76">
        <f>IF(A21="","",LARGE('Start List'!$B$15:$B$139,A21))</f>
        <v>799.13148000000001</v>
      </c>
      <c r="C21" s="76" t="str">
        <f t="shared" si="0"/>
        <v>M13</v>
      </c>
      <c r="D21" s="76">
        <f t="shared" si="1"/>
        <v>799.13148000000001</v>
      </c>
      <c r="E21" s="76" t="str">
        <f t="shared" si="2"/>
        <v>A13</v>
      </c>
      <c r="F21" s="80">
        <f>IF(COUNTIF(Data!$D$2:$D$97,$C21)=0,"",VLOOKUP($C21,Data!$D$2:$H$97,F$8,FALSE))</f>
        <v>6</v>
      </c>
      <c r="G21" s="80">
        <f>IF(COUNTIF(Data!$D$2:$D$97,$C21)=0,"",VLOOKUP($C21,Data!$D$2:$H$97,G$8,FALSE))</f>
        <v>3</v>
      </c>
      <c r="H21" s="80">
        <f>IF(COUNTIF(Data!$D$2:$D$97,$C21)=0,"",VLOOKUP($C21,Data!$D$2:$H$97,H$8,FALSE))</f>
        <v>6</v>
      </c>
      <c r="I21" s="80">
        <f>IF(COUNTIF(Data!$D$2:$D$97,$C21)=0,"",VLOOKUP($C21,Data!$D$2:$H$97,I$8,FALSE))</f>
        <v>10</v>
      </c>
      <c r="J21" s="77" t="str">
        <f>IF(A21="","",VLOOKUP($B21,'Start List'!$B$15:$Y$139,J$8,FALSE))</f>
        <v>Stela Čuk</v>
      </c>
      <c r="K21" s="77" t="str">
        <f>IF(B21="","",VLOOKUP($B21,'Start List'!$B$15:$Y$139,K$8,FALSE))</f>
        <v>CRO</v>
      </c>
      <c r="L21" s="77" t="str">
        <f>IF(J21="","",VLOOKUP($B21,'Start List'!$B$15:$Y$139,L$8,FALSE))</f>
        <v>CRO</v>
      </c>
      <c r="M21" s="79" t="str">
        <f>IF(K21="","",VLOOKUP($B21,'Start List'!$B$15:$Y$139,M$8,FALSE))</f>
        <v>C</v>
      </c>
      <c r="N21" s="150">
        <f>IF($B21="","",VLOOKUP($B21,'Start List'!$B$15:$Y$139,N$8,FALSE))</f>
        <v>251</v>
      </c>
      <c r="O21" s="80">
        <f>IF($B21="","",VLOOKUP($B21,'Start List'!$B$15:$Y$139,O$8,FALSE))</f>
        <v>6</v>
      </c>
      <c r="P21" s="80">
        <f>IF($B21="","",VLOOKUP($B21,'Start List'!$B$15:$Y$139,P$8,FALSE))</f>
        <v>1</v>
      </c>
      <c r="Q21" s="150" t="str">
        <f>IF($B21="","",VLOOKUP($B21,'Start List'!$B$15:$Y$139,Q$8,FALSE))</f>
        <v/>
      </c>
      <c r="R21" s="80">
        <f>IF($B21="","",VLOOKUP($B21,'Start List'!$B$15:$Y$139,R$8,FALSE))</f>
        <v>270</v>
      </c>
      <c r="S21" s="150">
        <f>IF($B21="","",VLOOKUP($B21,'Start List'!$B$15:$Y$139,S$8,FALSE))</f>
        <v>2</v>
      </c>
      <c r="T21" s="150">
        <f>IF($B21="","",VLOOKUP($B21,'Start List'!$B$15:$Y$139,T$8,FALSE))</f>
        <v>5</v>
      </c>
      <c r="U21" s="80" t="str">
        <f>IF($B21="","",VLOOKUP($B21,'Start List'!$B$15:$Y$139,U$8,FALSE))</f>
        <v/>
      </c>
      <c r="V21" s="80">
        <f>IF($B21="","",VLOOKUP($B21,'Start List'!$B$15:$Y$139,V$8,FALSE))</f>
        <v>278</v>
      </c>
      <c r="W21" s="150">
        <f>IF($B21="","",VLOOKUP($B21,'Start List'!$B$15:$Y$139,W$8,FALSE))</f>
        <v>5</v>
      </c>
      <c r="X21" s="80">
        <f>IF($B21="","",VLOOKUP($B21,'Start List'!$B$15:$Y$139,X$8,FALSE))</f>
        <v>9</v>
      </c>
      <c r="Y21" s="80" t="str">
        <f>IF($B21="","",VLOOKUP($B21,'Start List'!$B$15:$Y$139,Y$8,FALSE))</f>
        <v/>
      </c>
      <c r="Z21" s="217">
        <f>IF($B21="","",VLOOKUP($B21,'Start List'!$B$15:$Y$139,Z$8,FALSE))</f>
        <v>799</v>
      </c>
      <c r="AA21" s="218">
        <f>IF($B21="","",VLOOKUP($B21,'Start List'!$B$15:$Y$139,AA$8,FALSE))</f>
        <v>13</v>
      </c>
      <c r="AB21" s="218">
        <f>IF($B21="","",VLOOKUP($B21,'Start List'!$B$15:$Y$139,AB$8,FALSE))</f>
        <v>15</v>
      </c>
    </row>
    <row r="22" spans="1:28" s="83" customFormat="1" ht="12.75" customHeight="1" x14ac:dyDescent="0.2">
      <c r="A22" s="75">
        <f>'Start List'!A28</f>
        <v>14</v>
      </c>
      <c r="B22" s="76">
        <f>IF(A22="","",LARGE('Start List'!$B$15:$B$139,A22))</f>
        <v>796.16097699999989</v>
      </c>
      <c r="C22" s="76" t="str">
        <f t="shared" si="0"/>
        <v>M14</v>
      </c>
      <c r="D22" s="76">
        <f t="shared" si="1"/>
        <v>796.16097699999989</v>
      </c>
      <c r="E22" s="76" t="str">
        <f t="shared" si="2"/>
        <v>A14</v>
      </c>
      <c r="F22" s="80">
        <f>IF(COUNTIF(Data!$D$2:$D$97,$C22)=0,"",VLOOKUP($C22,Data!$D$2:$H$97,F$8,FALSE))</f>
        <v>14</v>
      </c>
      <c r="G22" s="80">
        <f>IF(COUNTIF(Data!$D$2:$D$97,$C22)=0,"",VLOOKUP($C22,Data!$D$2:$H$97,G$8,FALSE))</f>
        <v>7</v>
      </c>
      <c r="H22" s="80">
        <f>IF(COUNTIF(Data!$D$2:$D$97,$C22)=0,"",VLOOKUP($C22,Data!$D$2:$H$97,H$8,FALSE))</f>
        <v>3</v>
      </c>
      <c r="I22" s="80">
        <f>IF(COUNTIF(Data!$D$2:$D$97,$C22)=0,"",VLOOKUP($C22,Data!$D$2:$H$97,I$8,FALSE))</f>
        <v>11</v>
      </c>
      <c r="J22" s="77" t="str">
        <f>IF(A22="","",VLOOKUP($B22,'Start List'!$B$15:$Y$139,J$8,FALSE))</f>
        <v>Fran Županić</v>
      </c>
      <c r="K22" s="77" t="str">
        <f>IF(B22="","",VLOOKUP($B22,'Start List'!$B$15:$Y$139,K$8,FALSE))</f>
        <v>CRO</v>
      </c>
      <c r="L22" s="77" t="str">
        <f>IF(J22="","",VLOOKUP($B22,'Start List'!$B$15:$Y$139,L$8,FALSE))</f>
        <v>CRO</v>
      </c>
      <c r="M22" s="79" t="str">
        <f>IF(K22="","",VLOOKUP($B22,'Start List'!$B$15:$Y$139,M$8,FALSE))</f>
        <v>C</v>
      </c>
      <c r="N22" s="150">
        <f>IF($B22="","",VLOOKUP($B22,'Start List'!$B$15:$Y$139,N$8,FALSE))</f>
        <v>245</v>
      </c>
      <c r="O22" s="80">
        <f>IF($B22="","",VLOOKUP($B22,'Start List'!$B$15:$Y$139,O$8,FALSE))</f>
        <v>5</v>
      </c>
      <c r="P22" s="80">
        <f>IF($B22="","",VLOOKUP($B22,'Start List'!$B$15:$Y$139,P$8,FALSE))</f>
        <v>0</v>
      </c>
      <c r="Q22" s="150" t="str">
        <f>IF($B22="","",VLOOKUP($B22,'Start List'!$B$15:$Y$139,Q$8,FALSE))</f>
        <v/>
      </c>
      <c r="R22" s="80">
        <f>IF($B22="","",VLOOKUP($B22,'Start List'!$B$15:$Y$139,R$8,FALSE))</f>
        <v>275</v>
      </c>
      <c r="S22" s="150">
        <f>IF($B22="","",VLOOKUP($B22,'Start List'!$B$15:$Y$139,S$8,FALSE))</f>
        <v>3</v>
      </c>
      <c r="T22" s="150">
        <f>IF($B22="","",VLOOKUP($B22,'Start List'!$B$15:$Y$139,T$8,FALSE))</f>
        <v>6</v>
      </c>
      <c r="U22" s="80" t="str">
        <f>IF($B22="","",VLOOKUP($B22,'Start List'!$B$15:$Y$139,U$8,FALSE))</f>
        <v/>
      </c>
      <c r="V22" s="80">
        <f>IF($B22="","",VLOOKUP($B22,'Start List'!$B$15:$Y$139,V$8,FALSE))</f>
        <v>276</v>
      </c>
      <c r="W22" s="150">
        <f>IF($B22="","",VLOOKUP($B22,'Start List'!$B$15:$Y$139,W$8,FALSE))</f>
        <v>8</v>
      </c>
      <c r="X22" s="80">
        <f>IF($B22="","",VLOOKUP($B22,'Start List'!$B$15:$Y$139,X$8,FALSE))</f>
        <v>4</v>
      </c>
      <c r="Y22" s="80" t="str">
        <f>IF($B22="","",VLOOKUP($B22,'Start List'!$B$15:$Y$139,Y$8,FALSE))</f>
        <v/>
      </c>
      <c r="Z22" s="217">
        <f>IF($B22="","",VLOOKUP($B22,'Start List'!$B$15:$Y$139,Z$8,FALSE))</f>
        <v>796</v>
      </c>
      <c r="AA22" s="218">
        <f>IF($B22="","",VLOOKUP($B22,'Start List'!$B$15:$Y$139,AA$8,FALSE))</f>
        <v>16</v>
      </c>
      <c r="AB22" s="218">
        <f>IF($B22="","",VLOOKUP($B22,'Start List'!$B$15:$Y$139,AB$8,FALSE))</f>
        <v>10</v>
      </c>
    </row>
    <row r="23" spans="1:28" s="83" customFormat="1" ht="12.75" customHeight="1" x14ac:dyDescent="0.2">
      <c r="A23" s="75">
        <f>'Start List'!A29</f>
        <v>15</v>
      </c>
      <c r="B23" s="76">
        <f>IF(A23="","",LARGE('Start List'!$B$15:$B$139,A23))</f>
        <v>795.18106899999987</v>
      </c>
      <c r="C23" s="76" t="str">
        <f t="shared" si="0"/>
        <v>M15</v>
      </c>
      <c r="D23" s="76">
        <f t="shared" si="1"/>
        <v>795.18106899999987</v>
      </c>
      <c r="E23" s="76" t="str">
        <f t="shared" si="2"/>
        <v>A15</v>
      </c>
      <c r="F23" s="80">
        <f>IF(COUNTIF(Data!$D$2:$D$97,$C23)=0,"",VLOOKUP($C23,Data!$D$2:$H$97,F$8,FALSE))</f>
        <v>10</v>
      </c>
      <c r="G23" s="80">
        <f>IF(COUNTIF(Data!$D$2:$D$97,$C23)=0,"",VLOOKUP($C23,Data!$D$2:$H$97,G$8,FALSE))</f>
        <v>5</v>
      </c>
      <c r="H23" s="80">
        <f>IF(COUNTIF(Data!$D$2:$D$97,$C23)=0,"",VLOOKUP($C23,Data!$D$2:$H$97,H$8,FALSE))</f>
        <v>2</v>
      </c>
      <c r="I23" s="80">
        <f>IF(COUNTIF(Data!$D$2:$D$97,$C23)=0,"",VLOOKUP($C23,Data!$D$2:$H$97,I$8,FALSE))</f>
        <v>11</v>
      </c>
      <c r="J23" s="77" t="str">
        <f>IF(A23="","",VLOOKUP($B23,'Start List'!$B$15:$Y$139,J$8,FALSE))</f>
        <v>Nedělníková Jaroslava</v>
      </c>
      <c r="K23" s="77" t="str">
        <f>IF(B23="","",VLOOKUP($B23,'Start List'!$B$15:$Y$139,K$8,FALSE))</f>
        <v>CZE - Savana</v>
      </c>
      <c r="L23" s="77" t="str">
        <f>IF(J23="","",VLOOKUP($B23,'Start List'!$B$15:$Y$139,L$8,FALSE))</f>
        <v>CZE - Savana</v>
      </c>
      <c r="M23" s="79" t="str">
        <f>IF(K23="","",VLOOKUP($B23,'Start List'!$B$15:$Y$139,M$8,FALSE))</f>
        <v>SW</v>
      </c>
      <c r="N23" s="150">
        <f>IF($B23="","",VLOOKUP($B23,'Start List'!$B$15:$Y$139,N$8,FALSE))</f>
        <v>250</v>
      </c>
      <c r="O23" s="80">
        <f>IF($B23="","",VLOOKUP($B23,'Start List'!$B$15:$Y$139,O$8,FALSE))</f>
        <v>4</v>
      </c>
      <c r="P23" s="80">
        <f>IF($B23="","",VLOOKUP($B23,'Start List'!$B$15:$Y$139,P$8,FALSE))</f>
        <v>2</v>
      </c>
      <c r="Q23" s="150" t="str">
        <f>IF($B23="","",VLOOKUP($B23,'Start List'!$B$15:$Y$139,Q$8,FALSE))</f>
        <v/>
      </c>
      <c r="R23" s="80">
        <f>IF($B23="","",VLOOKUP($B23,'Start List'!$B$15:$Y$139,R$8,FALSE))</f>
        <v>262</v>
      </c>
      <c r="S23" s="150">
        <f>IF($B23="","",VLOOKUP($B23,'Start List'!$B$15:$Y$139,S$8,FALSE))</f>
        <v>5</v>
      </c>
      <c r="T23" s="150">
        <f>IF($B23="","",VLOOKUP($B23,'Start List'!$B$15:$Y$139,T$8,FALSE))</f>
        <v>1</v>
      </c>
      <c r="U23" s="80" t="str">
        <f>IF($B23="","",VLOOKUP($B23,'Start List'!$B$15:$Y$139,U$8,FALSE))</f>
        <v/>
      </c>
      <c r="V23" s="80">
        <f>IF($B23="","",VLOOKUP($B23,'Start List'!$B$15:$Y$139,V$8,FALSE))</f>
        <v>283</v>
      </c>
      <c r="W23" s="150">
        <f>IF($B23="","",VLOOKUP($B23,'Start List'!$B$15:$Y$139,W$8,FALSE))</f>
        <v>9</v>
      </c>
      <c r="X23" s="80">
        <f>IF($B23="","",VLOOKUP($B23,'Start List'!$B$15:$Y$139,X$8,FALSE))</f>
        <v>8</v>
      </c>
      <c r="Y23" s="80" t="str">
        <f>IF($B23="","",VLOOKUP($B23,'Start List'!$B$15:$Y$139,Y$8,FALSE))</f>
        <v/>
      </c>
      <c r="Z23" s="217">
        <f>IF($B23="","",VLOOKUP($B23,'Start List'!$B$15:$Y$139,Z$8,FALSE))</f>
        <v>795</v>
      </c>
      <c r="AA23" s="218">
        <f>IF($B23="","",VLOOKUP($B23,'Start List'!$B$15:$Y$139,AA$8,FALSE))</f>
        <v>18</v>
      </c>
      <c r="AB23" s="218">
        <f>IF($B23="","",VLOOKUP($B23,'Start List'!$B$15:$Y$139,AB$8,FALSE))</f>
        <v>11</v>
      </c>
    </row>
    <row r="24" spans="1:28" s="83" customFormat="1" ht="12.75" customHeight="1" x14ac:dyDescent="0.2">
      <c r="A24" s="75">
        <f>'Start List'!A30</f>
        <v>16</v>
      </c>
      <c r="B24" s="76">
        <f>IF(A24="","",LARGE('Start List'!$B$15:$B$139,A24))</f>
        <v>793.15108999999995</v>
      </c>
      <c r="C24" s="76" t="str">
        <f t="shared" si="0"/>
        <v>M16</v>
      </c>
      <c r="D24" s="76">
        <f t="shared" si="1"/>
        <v>793.15108999999995</v>
      </c>
      <c r="E24" s="76" t="str">
        <f t="shared" si="2"/>
        <v>A16</v>
      </c>
      <c r="F24" s="80">
        <f>IF(COUNTIF(Data!$D$2:$D$97,$C24)=0,"",VLOOKUP($C24,Data!$D$2:$H$97,F$8,FALSE))</f>
        <v>2</v>
      </c>
      <c r="G24" s="80">
        <f>IF(COUNTIF(Data!$D$2:$D$97,$C24)=0,"",VLOOKUP($C24,Data!$D$2:$H$97,G$8,FALSE))</f>
        <v>1</v>
      </c>
      <c r="H24" s="80">
        <f>IF(COUNTIF(Data!$D$2:$D$97,$C24)=0,"",VLOOKUP($C24,Data!$D$2:$H$97,H$8,FALSE))</f>
        <v>5</v>
      </c>
      <c r="I24" s="80">
        <f>IF(COUNTIF(Data!$D$2:$D$97,$C24)=0,"",VLOOKUP($C24,Data!$D$2:$H$97,I$8,FALSE))</f>
        <v>10</v>
      </c>
      <c r="J24" s="77" t="str">
        <f>IF(A24="","",VLOOKUP($B24,'Start List'!$B$15:$Y$139,J$8,FALSE))</f>
        <v>Bihariné Gábriel Emese</v>
      </c>
      <c r="K24" s="77" t="str">
        <f>IF(B24="","",VLOOKUP($B24,'Start List'!$B$15:$Y$139,K$8,FALSE))</f>
        <v>HUN - Hungarian Shooting Federation</v>
      </c>
      <c r="L24" s="77" t="str">
        <f>IF(J24="","",VLOOKUP($B24,'Start List'!$B$15:$Y$139,L$8,FALSE))</f>
        <v>HUN - Hungarian Shooting Federation</v>
      </c>
      <c r="M24" s="79" t="str">
        <f>IF(K24="","",VLOOKUP($B24,'Start List'!$B$15:$Y$139,M$8,FALSE))</f>
        <v>W</v>
      </c>
      <c r="N24" s="150">
        <f>IF($B24="","",VLOOKUP($B24,'Start List'!$B$15:$Y$139,N$8,FALSE))</f>
        <v>243</v>
      </c>
      <c r="O24" s="80">
        <f>IF($B24="","",VLOOKUP($B24,'Start List'!$B$15:$Y$139,O$8,FALSE))</f>
        <v>3</v>
      </c>
      <c r="P24" s="80">
        <f>IF($B24="","",VLOOKUP($B24,'Start List'!$B$15:$Y$139,P$8,FALSE))</f>
        <v>2</v>
      </c>
      <c r="Q24" s="150" t="str">
        <f>IF($B24="","",VLOOKUP($B24,'Start List'!$B$15:$Y$139,Q$8,FALSE))</f>
        <v/>
      </c>
      <c r="R24" s="80">
        <f>IF($B24="","",VLOOKUP($B24,'Start List'!$B$15:$Y$139,R$8,FALSE))</f>
        <v>278</v>
      </c>
      <c r="S24" s="150">
        <f>IF($B24="","",VLOOKUP($B24,'Start List'!$B$15:$Y$139,S$8,FALSE))</f>
        <v>6</v>
      </c>
      <c r="T24" s="150">
        <f>IF($B24="","",VLOOKUP($B24,'Start List'!$B$15:$Y$139,T$8,FALSE))</f>
        <v>6</v>
      </c>
      <c r="U24" s="80" t="str">
        <f>IF($B24="","",VLOOKUP($B24,'Start List'!$B$15:$Y$139,U$8,FALSE))</f>
        <v/>
      </c>
      <c r="V24" s="80">
        <f>IF($B24="","",VLOOKUP($B24,'Start List'!$B$15:$Y$139,V$8,FALSE))</f>
        <v>272</v>
      </c>
      <c r="W24" s="150">
        <f>IF($B24="","",VLOOKUP($B24,'Start List'!$B$15:$Y$139,W$8,FALSE))</f>
        <v>6</v>
      </c>
      <c r="X24" s="80">
        <f>IF($B24="","",VLOOKUP($B24,'Start List'!$B$15:$Y$139,X$8,FALSE))</f>
        <v>3</v>
      </c>
      <c r="Y24" s="80" t="str">
        <f>IF($B24="","",VLOOKUP($B24,'Start List'!$B$15:$Y$139,Y$8,FALSE))</f>
        <v/>
      </c>
      <c r="Z24" s="217">
        <f>IF($B24="","",VLOOKUP($B24,'Start List'!$B$15:$Y$139,Z$8,FALSE))</f>
        <v>793</v>
      </c>
      <c r="AA24" s="218">
        <f>IF($B24="","",VLOOKUP($B24,'Start List'!$B$15:$Y$139,AA$8,FALSE))</f>
        <v>15</v>
      </c>
      <c r="AB24" s="218">
        <f>IF($B24="","",VLOOKUP($B24,'Start List'!$B$15:$Y$139,AB$8,FALSE))</f>
        <v>11</v>
      </c>
    </row>
    <row r="25" spans="1:28" s="83" customFormat="1" ht="12.75" customHeight="1" x14ac:dyDescent="0.2">
      <c r="A25" s="75">
        <f>'Start List'!A31</f>
        <v>17</v>
      </c>
      <c r="B25" s="76">
        <f>IF(A25="","",LARGE('Start List'!$B$15:$B$139,A25))</f>
        <v>785.15079500000002</v>
      </c>
      <c r="C25" s="76" t="str">
        <f t="shared" si="0"/>
        <v>M17</v>
      </c>
      <c r="D25" s="76">
        <f t="shared" si="1"/>
        <v>785.15079500000002</v>
      </c>
      <c r="E25" s="76" t="str">
        <f t="shared" si="2"/>
        <v>A17</v>
      </c>
      <c r="F25" s="80" t="str">
        <f>IF(COUNTIF(Data!$D$2:$D$97,$C25)=0,"",VLOOKUP($C25,Data!$D$2:$H$97,F$8,FALSE))</f>
        <v/>
      </c>
      <c r="G25" s="80" t="str">
        <f>IF(COUNTIF(Data!$D$2:$D$97,$C25)=0,"",VLOOKUP($C25,Data!$D$2:$H$97,G$8,FALSE))</f>
        <v/>
      </c>
      <c r="H25" s="80" t="str">
        <f>IF(COUNTIF(Data!$D$2:$D$97,$C25)=0,"",VLOOKUP($C25,Data!$D$2:$H$97,H$8,FALSE))</f>
        <v/>
      </c>
      <c r="I25" s="80" t="str">
        <f>IF(COUNTIF(Data!$D$2:$D$97,$C25)=0,"",VLOOKUP($C25,Data!$D$2:$H$97,I$8,FALSE))</f>
        <v/>
      </c>
      <c r="J25" s="77" t="str">
        <f>IF(A25="","",VLOOKUP($B25,'Start List'!$B$15:$Y$139,J$8,FALSE))</f>
        <v>Kubesová Sabina</v>
      </c>
      <c r="K25" s="77" t="str">
        <f>IF(B25="","",VLOOKUP($B25,'Start List'!$B$15:$Y$139,K$8,FALSE))</f>
        <v>CZE - Suché Lazce</v>
      </c>
      <c r="L25" s="77" t="str">
        <f>IF(J25="","",VLOOKUP($B25,'Start List'!$B$15:$Y$139,L$8,FALSE))</f>
        <v>CZE - Suché Lazce</v>
      </c>
      <c r="M25" s="79" t="str">
        <f>IF(K25="","",VLOOKUP($B25,'Start List'!$B$15:$Y$139,M$8,FALSE))</f>
        <v>W</v>
      </c>
      <c r="N25" s="150">
        <f>IF($B25="","",VLOOKUP($B25,'Start List'!$B$15:$Y$139,N$8,FALSE))</f>
        <v>247</v>
      </c>
      <c r="O25" s="80">
        <f>IF($B25="","",VLOOKUP($B25,'Start List'!$B$15:$Y$139,O$8,FALSE))</f>
        <v>2</v>
      </c>
      <c r="P25" s="80">
        <f>IF($B25="","",VLOOKUP($B25,'Start List'!$B$15:$Y$139,P$8,FALSE))</f>
        <v>2</v>
      </c>
      <c r="Q25" s="150" t="str">
        <f>IF($B25="","",VLOOKUP($B25,'Start List'!$B$15:$Y$139,Q$8,FALSE))</f>
        <v/>
      </c>
      <c r="R25" s="80">
        <f>IF($B25="","",VLOOKUP($B25,'Start List'!$B$15:$Y$139,R$8,FALSE))</f>
        <v>267</v>
      </c>
      <c r="S25" s="150">
        <f>IF($B25="","",VLOOKUP($B25,'Start List'!$B$15:$Y$139,S$8,FALSE))</f>
        <v>5</v>
      </c>
      <c r="T25" s="150">
        <f>IF($B25="","",VLOOKUP($B25,'Start List'!$B$15:$Y$139,T$8,FALSE))</f>
        <v>1</v>
      </c>
      <c r="U25" s="80" t="str">
        <f>IF($B25="","",VLOOKUP($B25,'Start List'!$B$15:$Y$139,U$8,FALSE))</f>
        <v/>
      </c>
      <c r="V25" s="80">
        <f>IF($B25="","",VLOOKUP($B25,'Start List'!$B$15:$Y$139,V$8,FALSE))</f>
        <v>271</v>
      </c>
      <c r="W25" s="150">
        <f>IF($B25="","",VLOOKUP($B25,'Start List'!$B$15:$Y$139,W$8,FALSE))</f>
        <v>8</v>
      </c>
      <c r="X25" s="80">
        <f>IF($B25="","",VLOOKUP($B25,'Start List'!$B$15:$Y$139,X$8,FALSE))</f>
        <v>5</v>
      </c>
      <c r="Y25" s="80" t="str">
        <f>IF($B25="","",VLOOKUP($B25,'Start List'!$B$15:$Y$139,Y$8,FALSE))</f>
        <v/>
      </c>
      <c r="Z25" s="217">
        <f>IF($B25="","",VLOOKUP($B25,'Start List'!$B$15:$Y$139,Z$8,FALSE))</f>
        <v>785</v>
      </c>
      <c r="AA25" s="218">
        <f>IF($B25="","",VLOOKUP($B25,'Start List'!$B$15:$Y$139,AA$8,FALSE))</f>
        <v>15</v>
      </c>
      <c r="AB25" s="218">
        <f>IF($B25="","",VLOOKUP($B25,'Start List'!$B$15:$Y$139,AB$8,FALSE))</f>
        <v>8</v>
      </c>
    </row>
    <row r="26" spans="1:28" s="83" customFormat="1" ht="12.75" customHeight="1" x14ac:dyDescent="0.2">
      <c r="A26" s="75">
        <f>'Start List'!A32</f>
        <v>18</v>
      </c>
      <c r="B26" s="76">
        <f>IF(A26="","",LARGE('Start List'!$B$15:$B$139,A26))</f>
        <v>782.17099099999996</v>
      </c>
      <c r="C26" s="76" t="str">
        <f t="shared" si="0"/>
        <v>M18</v>
      </c>
      <c r="D26" s="76">
        <f t="shared" si="1"/>
        <v>782.17099099999996</v>
      </c>
      <c r="E26" s="76" t="str">
        <f t="shared" si="2"/>
        <v>A18</v>
      </c>
      <c r="F26" s="80" t="str">
        <f>IF(COUNTIF(Data!$D$2:$D$97,$C26)=0,"",VLOOKUP($C26,Data!$D$2:$H$97,F$8,FALSE))</f>
        <v/>
      </c>
      <c r="G26" s="80" t="str">
        <f>IF(COUNTIF(Data!$D$2:$D$97,$C26)=0,"",VLOOKUP($C26,Data!$D$2:$H$97,G$8,FALSE))</f>
        <v/>
      </c>
      <c r="H26" s="80" t="str">
        <f>IF(COUNTIF(Data!$D$2:$D$97,$C26)=0,"",VLOOKUP($C26,Data!$D$2:$H$97,H$8,FALSE))</f>
        <v/>
      </c>
      <c r="I26" s="80" t="str">
        <f>IF(COUNTIF(Data!$D$2:$D$97,$C26)=0,"",VLOOKUP($C26,Data!$D$2:$H$97,I$8,FALSE))</f>
        <v/>
      </c>
      <c r="J26" s="77" t="str">
        <f>IF(A26="","",VLOOKUP($B26,'Start List'!$B$15:$Y$139,J$8,FALSE))</f>
        <v>Hynková Karolína</v>
      </c>
      <c r="K26" s="77" t="str">
        <f>IF(B26="","",VLOOKUP($B26,'Start List'!$B$15:$Y$139,K$8,FALSE))</f>
        <v>CZE - Savana</v>
      </c>
      <c r="L26" s="77" t="str">
        <f>IF(J26="","",VLOOKUP($B26,'Start List'!$B$15:$Y$139,L$8,FALSE))</f>
        <v>CZE - Savana</v>
      </c>
      <c r="M26" s="79" t="str">
        <f>IF(K26="","",VLOOKUP($B26,'Start List'!$B$15:$Y$139,M$8,FALSE))</f>
        <v>W</v>
      </c>
      <c r="N26" s="150">
        <f>IF($B26="","",VLOOKUP($B26,'Start List'!$B$15:$Y$139,N$8,FALSE))</f>
        <v>246</v>
      </c>
      <c r="O26" s="80">
        <f>IF($B26="","",VLOOKUP($B26,'Start List'!$B$15:$Y$139,O$8,FALSE))</f>
        <v>6</v>
      </c>
      <c r="P26" s="80">
        <f>IF($B26="","",VLOOKUP($B26,'Start List'!$B$15:$Y$139,P$8,FALSE))</f>
        <v>1</v>
      </c>
      <c r="Q26" s="150" t="str">
        <f>IF($B26="","",VLOOKUP($B26,'Start List'!$B$15:$Y$139,Q$8,FALSE))</f>
        <v/>
      </c>
      <c r="R26" s="80">
        <f>IF($B26="","",VLOOKUP($B26,'Start List'!$B$15:$Y$139,R$8,FALSE))</f>
        <v>267</v>
      </c>
      <c r="S26" s="150">
        <f>IF($B26="","",VLOOKUP($B26,'Start List'!$B$15:$Y$139,S$8,FALSE))</f>
        <v>6</v>
      </c>
      <c r="T26" s="150">
        <f>IF($B26="","",VLOOKUP($B26,'Start List'!$B$15:$Y$139,T$8,FALSE))</f>
        <v>3</v>
      </c>
      <c r="U26" s="80" t="str">
        <f>IF($B26="","",VLOOKUP($B26,'Start List'!$B$15:$Y$139,U$8,FALSE))</f>
        <v/>
      </c>
      <c r="V26" s="80">
        <f>IF($B26="","",VLOOKUP($B26,'Start List'!$B$15:$Y$139,V$8,FALSE))</f>
        <v>269</v>
      </c>
      <c r="W26" s="150">
        <f>IF($B26="","",VLOOKUP($B26,'Start List'!$B$15:$Y$139,W$8,FALSE))</f>
        <v>5</v>
      </c>
      <c r="X26" s="80">
        <f>IF($B26="","",VLOOKUP($B26,'Start List'!$B$15:$Y$139,X$8,FALSE))</f>
        <v>6</v>
      </c>
      <c r="Y26" s="80" t="str">
        <f>IF($B26="","",VLOOKUP($B26,'Start List'!$B$15:$Y$139,Y$8,FALSE))</f>
        <v/>
      </c>
      <c r="Z26" s="217">
        <f>IF($B26="","",VLOOKUP($B26,'Start List'!$B$15:$Y$139,Z$8,FALSE))</f>
        <v>782</v>
      </c>
      <c r="AA26" s="218">
        <f>IF($B26="","",VLOOKUP($B26,'Start List'!$B$15:$Y$139,AA$8,FALSE))</f>
        <v>17</v>
      </c>
      <c r="AB26" s="218">
        <f>IF($B26="","",VLOOKUP($B26,'Start List'!$B$15:$Y$139,AB$8,FALSE))</f>
        <v>10</v>
      </c>
    </row>
    <row r="27" spans="1:28" s="83" customFormat="1" ht="12.75" customHeight="1" x14ac:dyDescent="0.2">
      <c r="A27" s="75">
        <f>'Start List'!A33</f>
        <v>19</v>
      </c>
      <c r="B27" s="76">
        <f>IF(A27="","",LARGE('Start List'!$B$15:$B$139,A27))</f>
        <v>780.12157000000002</v>
      </c>
      <c r="C27" s="76" t="str">
        <f t="shared" si="0"/>
        <v>M19</v>
      </c>
      <c r="D27" s="76">
        <f t="shared" si="1"/>
        <v>780.12157000000002</v>
      </c>
      <c r="E27" s="76" t="str">
        <f t="shared" si="2"/>
        <v>A19</v>
      </c>
      <c r="F27" s="80" t="str">
        <f>IF(COUNTIF(Data!$D$2:$D$97,$C27)=0,"",VLOOKUP($C27,Data!$D$2:$H$97,F$8,FALSE))</f>
        <v/>
      </c>
      <c r="G27" s="80" t="str">
        <f>IF(COUNTIF(Data!$D$2:$D$97,$C27)=0,"",VLOOKUP($C27,Data!$D$2:$H$97,G$8,FALSE))</f>
        <v/>
      </c>
      <c r="H27" s="80" t="str">
        <f>IF(COUNTIF(Data!$D$2:$D$97,$C27)=0,"",VLOOKUP($C27,Data!$D$2:$H$97,H$8,FALSE))</f>
        <v/>
      </c>
      <c r="I27" s="80" t="str">
        <f>IF(COUNTIF(Data!$D$2:$D$97,$C27)=0,"",VLOOKUP($C27,Data!$D$2:$H$97,I$8,FALSE))</f>
        <v/>
      </c>
      <c r="J27" s="77" t="str">
        <f>IF(A27="","",VLOOKUP($B27,'Start List'!$B$15:$Y$139,J$8,FALSE))</f>
        <v>Dr. Lénárt Ágota</v>
      </c>
      <c r="K27" s="77" t="str">
        <f>IF(B27="","",VLOOKUP($B27,'Start List'!$B$15:$Y$139,K$8,FALSE))</f>
        <v>HUN - Hungarian Shooting Federation</v>
      </c>
      <c r="L27" s="77" t="str">
        <f>IF(J27="","",VLOOKUP($B27,'Start List'!$B$15:$Y$139,L$8,FALSE))</f>
        <v>HUN - Hungarian Shooting Federation</v>
      </c>
      <c r="M27" s="79" t="str">
        <f>IF(K27="","",VLOOKUP($B27,'Start List'!$B$15:$Y$139,M$8,FALSE))</f>
        <v>SW</v>
      </c>
      <c r="N27" s="150">
        <f>IF($B27="","",VLOOKUP($B27,'Start List'!$B$15:$Y$139,N$8,FALSE))</f>
        <v>234</v>
      </c>
      <c r="O27" s="80">
        <f>IF($B27="","",VLOOKUP($B27,'Start List'!$B$15:$Y$139,O$8,FALSE))</f>
        <v>2</v>
      </c>
      <c r="P27" s="80">
        <f>IF($B27="","",VLOOKUP($B27,'Start List'!$B$15:$Y$139,P$8,FALSE))</f>
        <v>2</v>
      </c>
      <c r="Q27" s="150" t="str">
        <f>IF($B27="","",VLOOKUP($B27,'Start List'!$B$15:$Y$139,Q$8,FALSE))</f>
        <v/>
      </c>
      <c r="R27" s="80">
        <f>IF($B27="","",VLOOKUP($B27,'Start List'!$B$15:$Y$139,R$8,FALSE))</f>
        <v>270</v>
      </c>
      <c r="S27" s="150">
        <f>IF($B27="","",VLOOKUP($B27,'Start List'!$B$15:$Y$139,S$8,FALSE))</f>
        <v>6</v>
      </c>
      <c r="T27" s="150">
        <f>IF($B27="","",VLOOKUP($B27,'Start List'!$B$15:$Y$139,T$8,FALSE))</f>
        <v>5</v>
      </c>
      <c r="U27" s="80" t="str">
        <f>IF($B27="","",VLOOKUP($B27,'Start List'!$B$15:$Y$139,U$8,FALSE))</f>
        <v/>
      </c>
      <c r="V27" s="80">
        <f>IF($B27="","",VLOOKUP($B27,'Start List'!$B$15:$Y$139,V$8,FALSE))</f>
        <v>276</v>
      </c>
      <c r="W27" s="150">
        <f>IF($B27="","",VLOOKUP($B27,'Start List'!$B$15:$Y$139,W$8,FALSE))</f>
        <v>4</v>
      </c>
      <c r="X27" s="80">
        <f>IF($B27="","",VLOOKUP($B27,'Start List'!$B$15:$Y$139,X$8,FALSE))</f>
        <v>9</v>
      </c>
      <c r="Y27" s="80" t="str">
        <f>IF($B27="","",VLOOKUP($B27,'Start List'!$B$15:$Y$139,Y$8,FALSE))</f>
        <v/>
      </c>
      <c r="Z27" s="217">
        <f>IF($B27="","",VLOOKUP($B27,'Start List'!$B$15:$Y$139,Z$8,FALSE))</f>
        <v>780</v>
      </c>
      <c r="AA27" s="218">
        <f>IF($B27="","",VLOOKUP($B27,'Start List'!$B$15:$Y$139,AA$8,FALSE))</f>
        <v>12</v>
      </c>
      <c r="AB27" s="218">
        <f>IF($B27="","",VLOOKUP($B27,'Start List'!$B$15:$Y$139,AB$8,FALSE))</f>
        <v>16</v>
      </c>
    </row>
    <row r="28" spans="1:28" s="83" customFormat="1" ht="12.75" customHeight="1" collapsed="1" x14ac:dyDescent="0.2">
      <c r="A28" s="75">
        <f>'Start List'!A34</f>
        <v>20</v>
      </c>
      <c r="B28" s="76">
        <f>IF(A28="","",LARGE('Start List'!$B$15:$B$139,A28))</f>
        <v>776.11099300000001</v>
      </c>
      <c r="C28" s="76" t="str">
        <f t="shared" si="0"/>
        <v>M20</v>
      </c>
      <c r="D28" s="76">
        <f t="shared" si="1"/>
        <v>776.11099300000001</v>
      </c>
      <c r="E28" s="76" t="str">
        <f t="shared" si="2"/>
        <v>A20</v>
      </c>
      <c r="F28" s="80" t="str">
        <f>IF(COUNTIF(Data!$D$2:$D$97,$C28)=0,"",VLOOKUP($C28,Data!$D$2:$H$97,F$8,FALSE))</f>
        <v/>
      </c>
      <c r="G28" s="80" t="str">
        <f>IF(COUNTIF(Data!$D$2:$D$97,$C28)=0,"",VLOOKUP($C28,Data!$D$2:$H$97,G$8,FALSE))</f>
        <v/>
      </c>
      <c r="H28" s="80" t="str">
        <f>IF(COUNTIF(Data!$D$2:$D$97,$C28)=0,"",VLOOKUP($C28,Data!$D$2:$H$97,H$8,FALSE))</f>
        <v/>
      </c>
      <c r="I28" s="80" t="str">
        <f>IF(COUNTIF(Data!$D$2:$D$97,$C28)=0,"",VLOOKUP($C28,Data!$D$2:$H$97,I$8,FALSE))</f>
        <v/>
      </c>
      <c r="J28" s="77" t="str">
        <f>IF(A28="","",VLOOKUP($B28,'Start List'!$B$15:$Y$139,J$8,FALSE))</f>
        <v>Hynková Irena</v>
      </c>
      <c r="K28" s="77" t="str">
        <f>IF(B28="","",VLOOKUP($B28,'Start List'!$B$15:$Y$139,K$8,FALSE))</f>
        <v>CZE - Savana</v>
      </c>
      <c r="L28" s="77" t="str">
        <f>IF(J28="","",VLOOKUP($B28,'Start List'!$B$15:$Y$139,L$8,FALSE))</f>
        <v>CZE - Savana</v>
      </c>
      <c r="M28" s="79" t="str">
        <f>IF(K28="","",VLOOKUP($B28,'Start List'!$B$15:$Y$139,M$8,FALSE))</f>
        <v>W</v>
      </c>
      <c r="N28" s="150">
        <f>IF($B28="","",VLOOKUP($B28,'Start List'!$B$15:$Y$139,N$8,FALSE))</f>
        <v>250</v>
      </c>
      <c r="O28" s="80">
        <f>IF($B28="","",VLOOKUP($B28,'Start List'!$B$15:$Y$139,O$8,FALSE))</f>
        <v>3</v>
      </c>
      <c r="P28" s="80">
        <f>IF($B28="","",VLOOKUP($B28,'Start List'!$B$15:$Y$139,P$8,FALSE))</f>
        <v>3</v>
      </c>
      <c r="Q28" s="150" t="str">
        <f>IF($B28="","",VLOOKUP($B28,'Start List'!$B$15:$Y$139,Q$8,FALSE))</f>
        <v/>
      </c>
      <c r="R28" s="80">
        <f>IF($B28="","",VLOOKUP($B28,'Start List'!$B$15:$Y$139,R$8,FALSE))</f>
        <v>254</v>
      </c>
      <c r="S28" s="150">
        <f>IF($B28="","",VLOOKUP($B28,'Start List'!$B$15:$Y$139,S$8,FALSE))</f>
        <v>2</v>
      </c>
      <c r="T28" s="150">
        <f>IF($B28="","",VLOOKUP($B28,'Start List'!$B$15:$Y$139,T$8,FALSE))</f>
        <v>1</v>
      </c>
      <c r="U28" s="80" t="str">
        <f>IF($B28="","",VLOOKUP($B28,'Start List'!$B$15:$Y$139,U$8,FALSE))</f>
        <v/>
      </c>
      <c r="V28" s="80">
        <f>IF($B28="","",VLOOKUP($B28,'Start List'!$B$15:$Y$139,V$8,FALSE))</f>
        <v>272</v>
      </c>
      <c r="W28" s="150">
        <f>IF($B28="","",VLOOKUP($B28,'Start List'!$B$15:$Y$139,W$8,FALSE))</f>
        <v>6</v>
      </c>
      <c r="X28" s="80">
        <f>IF($B28="","",VLOOKUP($B28,'Start List'!$B$15:$Y$139,X$8,FALSE))</f>
        <v>6</v>
      </c>
      <c r="Y28" s="80" t="str">
        <f>IF($B28="","",VLOOKUP($B28,'Start List'!$B$15:$Y$139,Y$8,FALSE))</f>
        <v/>
      </c>
      <c r="Z28" s="217">
        <f>IF($B28="","",VLOOKUP($B28,'Start List'!$B$15:$Y$139,Z$8,FALSE))</f>
        <v>776</v>
      </c>
      <c r="AA28" s="218">
        <f>IF($B28="","",VLOOKUP($B28,'Start List'!$B$15:$Y$139,AA$8,FALSE))</f>
        <v>11</v>
      </c>
      <c r="AB28" s="218">
        <f>IF($B28="","",VLOOKUP($B28,'Start List'!$B$15:$Y$139,AB$8,FALSE))</f>
        <v>10</v>
      </c>
    </row>
    <row r="29" spans="1:28" s="83" customFormat="1" ht="12.75" customHeight="1" collapsed="1" x14ac:dyDescent="0.2">
      <c r="A29" s="75">
        <f>'Start List'!A35</f>
        <v>21</v>
      </c>
      <c r="B29" s="76">
        <f>IF(A29="","",LARGE('Start List'!$B$15:$B$139,A29))</f>
        <v>774.13097499999992</v>
      </c>
      <c r="C29" s="76" t="str">
        <f t="shared" si="0"/>
        <v>M21</v>
      </c>
      <c r="D29" s="76">
        <f t="shared" si="1"/>
        <v>774.13097499999992</v>
      </c>
      <c r="E29" s="76" t="str">
        <f t="shared" si="2"/>
        <v>A21</v>
      </c>
      <c r="F29" s="80" t="str">
        <f>IF(COUNTIF(Data!$D$2:$D$97,$C29)=0,"",VLOOKUP($C29,Data!$D$2:$H$97,F$8,FALSE))</f>
        <v/>
      </c>
      <c r="G29" s="80" t="str">
        <f>IF(COUNTIF(Data!$D$2:$D$97,$C29)=0,"",VLOOKUP($C29,Data!$D$2:$H$97,G$8,FALSE))</f>
        <v/>
      </c>
      <c r="H29" s="80" t="str">
        <f>IF(COUNTIF(Data!$D$2:$D$97,$C29)=0,"",VLOOKUP($C29,Data!$D$2:$H$97,H$8,FALSE))</f>
        <v/>
      </c>
      <c r="I29" s="80" t="str">
        <f>IF(COUNTIF(Data!$D$2:$D$97,$C29)=0,"",VLOOKUP($C29,Data!$D$2:$H$97,I$8,FALSE))</f>
        <v/>
      </c>
      <c r="J29" s="77" t="str">
        <f>IF(A29="","",VLOOKUP($B29,'Start List'!$B$15:$Y$139,J$8,FALSE))</f>
        <v>Mátrai István</v>
      </c>
      <c r="K29" s="77" t="str">
        <f>IF(B29="","",VLOOKUP($B29,'Start List'!$B$15:$Y$139,K$8,FALSE))</f>
        <v>HUN - Hungarian Shooting Federation</v>
      </c>
      <c r="L29" s="77" t="str">
        <f>IF(J29="","",VLOOKUP($B29,'Start List'!$B$15:$Y$139,L$8,FALSE))</f>
        <v>HUN - Hungarian Shooting Federation</v>
      </c>
      <c r="M29" s="79" t="str">
        <f>IF(K29="","",VLOOKUP($B29,'Start List'!$B$15:$Y$139,M$8,FALSE))</f>
        <v>SM</v>
      </c>
      <c r="N29" s="150">
        <f>IF($B29="","",VLOOKUP($B29,'Start List'!$B$15:$Y$139,N$8,FALSE))</f>
        <v>243</v>
      </c>
      <c r="O29" s="80">
        <f>IF($B29="","",VLOOKUP($B29,'Start List'!$B$15:$Y$139,O$8,FALSE))</f>
        <v>3</v>
      </c>
      <c r="P29" s="80">
        <f>IF($B29="","",VLOOKUP($B29,'Start List'!$B$15:$Y$139,P$8,FALSE))</f>
        <v>2</v>
      </c>
      <c r="Q29" s="150" t="str">
        <f>IF($B29="","",VLOOKUP($B29,'Start List'!$B$15:$Y$139,Q$8,FALSE))</f>
        <v/>
      </c>
      <c r="R29" s="80">
        <f>IF($B29="","",VLOOKUP($B29,'Start List'!$B$15:$Y$139,R$8,FALSE))</f>
        <v>269</v>
      </c>
      <c r="S29" s="150">
        <f>IF($B29="","",VLOOKUP($B29,'Start List'!$B$15:$Y$139,S$8,FALSE))</f>
        <v>7</v>
      </c>
      <c r="T29" s="150">
        <f>IF($B29="","",VLOOKUP($B29,'Start List'!$B$15:$Y$139,T$8,FALSE))</f>
        <v>4</v>
      </c>
      <c r="U29" s="80" t="str">
        <f>IF($B29="","",VLOOKUP($B29,'Start List'!$B$15:$Y$139,U$8,FALSE))</f>
        <v/>
      </c>
      <c r="V29" s="80">
        <f>IF($B29="","",VLOOKUP($B29,'Start List'!$B$15:$Y$139,V$8,FALSE))</f>
        <v>262</v>
      </c>
      <c r="W29" s="150">
        <f>IF($B29="","",VLOOKUP($B29,'Start List'!$B$15:$Y$139,W$8,FALSE))</f>
        <v>3</v>
      </c>
      <c r="X29" s="80">
        <f>IF($B29="","",VLOOKUP($B29,'Start List'!$B$15:$Y$139,X$8,FALSE))</f>
        <v>4</v>
      </c>
      <c r="Y29" s="80" t="str">
        <f>IF($B29="","",VLOOKUP($B29,'Start List'!$B$15:$Y$139,Y$8,FALSE))</f>
        <v/>
      </c>
      <c r="Z29" s="217">
        <f>IF($B29="","",VLOOKUP($B29,'Start List'!$B$15:$Y$139,Z$8,FALSE))</f>
        <v>774</v>
      </c>
      <c r="AA29" s="218">
        <f>IF($B29="","",VLOOKUP($B29,'Start List'!$B$15:$Y$139,AA$8,FALSE))</f>
        <v>13</v>
      </c>
      <c r="AB29" s="218">
        <f>IF($B29="","",VLOOKUP($B29,'Start List'!$B$15:$Y$139,AB$8,FALSE))</f>
        <v>10</v>
      </c>
    </row>
    <row r="30" spans="1:28" s="83" customFormat="1" ht="12.75" customHeight="1" x14ac:dyDescent="0.2">
      <c r="A30" s="75">
        <f>'Start List'!A36</f>
        <v>22</v>
      </c>
      <c r="B30" s="76">
        <f>IF(A30="","",LARGE('Start List'!$B$15:$B$139,A30))</f>
        <v>770.13078300000006</v>
      </c>
      <c r="C30" s="76" t="str">
        <f t="shared" si="0"/>
        <v>M22</v>
      </c>
      <c r="D30" s="76">
        <f t="shared" si="1"/>
        <v>770.13078300000006</v>
      </c>
      <c r="E30" s="76" t="str">
        <f t="shared" si="2"/>
        <v>A22</v>
      </c>
      <c r="F30" s="80" t="str">
        <f>IF(COUNTIF(Data!$D$2:$D$97,$C30)=0,"",VLOOKUP($C30,Data!$D$2:$H$97,F$8,FALSE))</f>
        <v/>
      </c>
      <c r="G30" s="80" t="str">
        <f>IF(COUNTIF(Data!$D$2:$D$97,$C30)=0,"",VLOOKUP($C30,Data!$D$2:$H$97,G$8,FALSE))</f>
        <v/>
      </c>
      <c r="H30" s="80" t="str">
        <f>IF(COUNTIF(Data!$D$2:$D$97,$C30)=0,"",VLOOKUP($C30,Data!$D$2:$H$97,H$8,FALSE))</f>
        <v/>
      </c>
      <c r="I30" s="80" t="str">
        <f>IF(COUNTIF(Data!$D$2:$D$97,$C30)=0,"",VLOOKUP($C30,Data!$D$2:$H$97,I$8,FALSE))</f>
        <v/>
      </c>
      <c r="J30" s="77" t="str">
        <f>IF(A30="","",VLOOKUP($B30,'Start List'!$B$15:$Y$139,J$8,FALSE))</f>
        <v>Vyskočil Denis</v>
      </c>
      <c r="K30" s="77" t="str">
        <f>IF(B30="","",VLOOKUP($B30,'Start List'!$B$15:$Y$139,K$8,FALSE))</f>
        <v>CZE - Falcon Crossbow Plumlov</v>
      </c>
      <c r="L30" s="77" t="str">
        <f>IF(J30="","",VLOOKUP($B30,'Start List'!$B$15:$Y$139,L$8,FALSE))</f>
        <v>CZE - Falcon Crossbow Plumlov</v>
      </c>
      <c r="M30" s="79" t="str">
        <f>IF(K30="","",VLOOKUP($B30,'Start List'!$B$15:$Y$139,M$8,FALSE))</f>
        <v>C</v>
      </c>
      <c r="N30" s="150">
        <f>IF($B30="","",VLOOKUP($B30,'Start List'!$B$15:$Y$139,N$8,FALSE))</f>
        <v>225</v>
      </c>
      <c r="O30" s="80">
        <f>IF($B30="","",VLOOKUP($B30,'Start List'!$B$15:$Y$139,O$8,FALSE))</f>
        <v>2</v>
      </c>
      <c r="P30" s="80">
        <f>IF($B30="","",VLOOKUP($B30,'Start List'!$B$15:$Y$139,P$8,FALSE))</f>
        <v>0</v>
      </c>
      <c r="Q30" s="150" t="str">
        <f>IF($B30="","",VLOOKUP($B30,'Start List'!$B$15:$Y$139,Q$8,FALSE))</f>
        <v/>
      </c>
      <c r="R30" s="80">
        <f>IF($B30="","",VLOOKUP($B30,'Start List'!$B$15:$Y$139,R$8,FALSE))</f>
        <v>269</v>
      </c>
      <c r="S30" s="150">
        <f>IF($B30="","",VLOOKUP($B30,'Start List'!$B$15:$Y$139,S$8,FALSE))</f>
        <v>4</v>
      </c>
      <c r="T30" s="150">
        <f>IF($B30="","",VLOOKUP($B30,'Start List'!$B$15:$Y$139,T$8,FALSE))</f>
        <v>4</v>
      </c>
      <c r="U30" s="80" t="str">
        <f>IF($B30="","",VLOOKUP($B30,'Start List'!$B$15:$Y$139,U$8,FALSE))</f>
        <v/>
      </c>
      <c r="V30" s="80">
        <f>IF($B30="","",VLOOKUP($B30,'Start List'!$B$15:$Y$139,V$8,FALSE))</f>
        <v>276</v>
      </c>
      <c r="W30" s="150">
        <f>IF($B30="","",VLOOKUP($B30,'Start List'!$B$15:$Y$139,W$8,FALSE))</f>
        <v>7</v>
      </c>
      <c r="X30" s="80">
        <f>IF($B30="","",VLOOKUP($B30,'Start List'!$B$15:$Y$139,X$8,FALSE))</f>
        <v>4</v>
      </c>
      <c r="Y30" s="80" t="str">
        <f>IF($B30="","",VLOOKUP($B30,'Start List'!$B$15:$Y$139,Y$8,FALSE))</f>
        <v/>
      </c>
      <c r="Z30" s="217">
        <f>IF($B30="","",VLOOKUP($B30,'Start List'!$B$15:$Y$139,Z$8,FALSE))</f>
        <v>770</v>
      </c>
      <c r="AA30" s="218">
        <f>IF($B30="","",VLOOKUP($B30,'Start List'!$B$15:$Y$139,AA$8,FALSE))</f>
        <v>13</v>
      </c>
      <c r="AB30" s="218">
        <f>IF($B30="","",VLOOKUP($B30,'Start List'!$B$15:$Y$139,AB$8,FALSE))</f>
        <v>8</v>
      </c>
    </row>
    <row r="31" spans="1:28" s="78" customFormat="1" ht="12.75" customHeight="1" x14ac:dyDescent="0.2">
      <c r="A31" s="75">
        <f>'Start List'!A37</f>
        <v>23</v>
      </c>
      <c r="B31" s="76">
        <f>IF(A31="","",LARGE('Start List'!$B$15:$B$139,A31))</f>
        <v>760.12068800000009</v>
      </c>
      <c r="C31" s="76" t="str">
        <f t="shared" si="0"/>
        <v>M23</v>
      </c>
      <c r="D31" s="76">
        <f t="shared" si="1"/>
        <v>760.12068800000009</v>
      </c>
      <c r="E31" s="76" t="str">
        <f t="shared" si="2"/>
        <v>A23</v>
      </c>
      <c r="F31" s="80" t="str">
        <f>IF(COUNTIF(Data!$D$2:$D$97,$C31)=0,"",VLOOKUP($C31,Data!$D$2:$H$97,F$8,FALSE))</f>
        <v/>
      </c>
      <c r="G31" s="80" t="str">
        <f>IF(COUNTIF(Data!$D$2:$D$97,$C31)=0,"",VLOOKUP($C31,Data!$D$2:$H$97,G$8,FALSE))</f>
        <v/>
      </c>
      <c r="H31" s="80" t="str">
        <f>IF(COUNTIF(Data!$D$2:$D$97,$C31)=0,"",VLOOKUP($C31,Data!$D$2:$H$97,H$8,FALSE))</f>
        <v/>
      </c>
      <c r="I31" s="80" t="str">
        <f>IF(COUNTIF(Data!$D$2:$D$97,$C31)=0,"",VLOOKUP($C31,Data!$D$2:$H$97,I$8,FALSE))</f>
        <v/>
      </c>
      <c r="J31" s="77" t="str">
        <f>IF(A31="","",VLOOKUP($B31,'Start List'!$B$15:$Y$139,J$8,FALSE))</f>
        <v>Andrés Lukáš</v>
      </c>
      <c r="K31" s="77" t="str">
        <f>IF(B31="","",VLOOKUP($B31,'Start List'!$B$15:$Y$139,K$8,FALSE))</f>
        <v>CZE - Savana</v>
      </c>
      <c r="L31" s="77" t="str">
        <f>IF(J31="","",VLOOKUP($B31,'Start List'!$B$15:$Y$139,L$8,FALSE))</f>
        <v>CZE - Savana</v>
      </c>
      <c r="M31" s="79" t="str">
        <f>IF(K31="","",VLOOKUP($B31,'Start List'!$B$15:$Y$139,M$8,FALSE))</f>
        <v>J</v>
      </c>
      <c r="N31" s="150">
        <f>IF($B31="","",VLOOKUP($B31,'Start List'!$B$15:$Y$139,N$8,FALSE))</f>
        <v>240</v>
      </c>
      <c r="O31" s="80">
        <f>IF($B31="","",VLOOKUP($B31,'Start List'!$B$15:$Y$139,O$8,FALSE))</f>
        <v>2</v>
      </c>
      <c r="P31" s="80">
        <f>IF($B31="","",VLOOKUP($B31,'Start List'!$B$15:$Y$139,P$8,FALSE))</f>
        <v>1</v>
      </c>
      <c r="Q31" s="150" t="str">
        <f>IF($B31="","",VLOOKUP($B31,'Start List'!$B$15:$Y$139,Q$8,FALSE))</f>
        <v/>
      </c>
      <c r="R31" s="80">
        <f>IF($B31="","",VLOOKUP($B31,'Start List'!$B$15:$Y$139,R$8,FALSE))</f>
        <v>263</v>
      </c>
      <c r="S31" s="150">
        <f>IF($B31="","",VLOOKUP($B31,'Start List'!$B$15:$Y$139,S$8,FALSE))</f>
        <v>6</v>
      </c>
      <c r="T31" s="150">
        <f>IF($B31="","",VLOOKUP($B31,'Start List'!$B$15:$Y$139,T$8,FALSE))</f>
        <v>3</v>
      </c>
      <c r="U31" s="80" t="str">
        <f>IF($B31="","",VLOOKUP($B31,'Start List'!$B$15:$Y$139,U$8,FALSE))</f>
        <v/>
      </c>
      <c r="V31" s="80">
        <f>IF($B31="","",VLOOKUP($B31,'Start List'!$B$15:$Y$139,V$8,FALSE))</f>
        <v>257</v>
      </c>
      <c r="W31" s="150">
        <f>IF($B31="","",VLOOKUP($B31,'Start List'!$B$15:$Y$139,W$8,FALSE))</f>
        <v>4</v>
      </c>
      <c r="X31" s="80">
        <f>IF($B31="","",VLOOKUP($B31,'Start List'!$B$15:$Y$139,X$8,FALSE))</f>
        <v>3</v>
      </c>
      <c r="Y31" s="80" t="str">
        <f>IF($B31="","",VLOOKUP($B31,'Start List'!$B$15:$Y$139,Y$8,FALSE))</f>
        <v/>
      </c>
      <c r="Z31" s="217">
        <f>IF($B31="","",VLOOKUP($B31,'Start List'!$B$15:$Y$139,Z$8,FALSE))</f>
        <v>760</v>
      </c>
      <c r="AA31" s="218">
        <f>IF($B31="","",VLOOKUP($B31,'Start List'!$B$15:$Y$139,AA$8,FALSE))</f>
        <v>12</v>
      </c>
      <c r="AB31" s="218">
        <f>IF($B31="","",VLOOKUP($B31,'Start List'!$B$15:$Y$139,AB$8,FALSE))</f>
        <v>7</v>
      </c>
    </row>
    <row r="32" spans="1:28" s="83" customFormat="1" ht="12.75" customHeight="1" x14ac:dyDescent="0.2">
      <c r="A32" s="75">
        <f>'Start List'!A38</f>
        <v>24</v>
      </c>
      <c r="B32" s="76">
        <f>IF(A32="","",LARGE('Start List'!$B$15:$B$139,A32))</f>
        <v>759.11086799999998</v>
      </c>
      <c r="C32" s="76" t="str">
        <f t="shared" si="0"/>
        <v>M24</v>
      </c>
      <c r="D32" s="76">
        <f t="shared" si="1"/>
        <v>759.11086799999998</v>
      </c>
      <c r="E32" s="76" t="str">
        <f t="shared" si="2"/>
        <v>A24</v>
      </c>
      <c r="F32" s="80" t="str">
        <f>IF(COUNTIF(Data!$D$2:$D$97,$C32)=0,"",VLOOKUP($C32,Data!$D$2:$H$97,F$8,FALSE))</f>
        <v/>
      </c>
      <c r="G32" s="80" t="str">
        <f>IF(COUNTIF(Data!$D$2:$D$97,$C32)=0,"",VLOOKUP($C32,Data!$D$2:$H$97,G$8,FALSE))</f>
        <v/>
      </c>
      <c r="H32" s="80" t="str">
        <f>IF(COUNTIF(Data!$D$2:$D$97,$C32)=0,"",VLOOKUP($C32,Data!$D$2:$H$97,H$8,FALSE))</f>
        <v/>
      </c>
      <c r="I32" s="80" t="str">
        <f>IF(COUNTIF(Data!$D$2:$D$97,$C32)=0,"",VLOOKUP($C32,Data!$D$2:$H$97,I$8,FALSE))</f>
        <v/>
      </c>
      <c r="J32" s="77" t="str">
        <f>IF(A32="","",VLOOKUP($B32,'Start List'!$B$15:$Y$139,J$8,FALSE))</f>
        <v>Kocsis Mária</v>
      </c>
      <c r="K32" s="77" t="str">
        <f>IF(B32="","",VLOOKUP($B32,'Start List'!$B$15:$Y$139,K$8,FALSE))</f>
        <v>HUN - Hungarian Shooting Federation</v>
      </c>
      <c r="L32" s="77" t="str">
        <f>IF(J32="","",VLOOKUP($B32,'Start List'!$B$15:$Y$139,L$8,FALSE))</f>
        <v>HUN - Hungarian Shooting Federation</v>
      </c>
      <c r="M32" s="79" t="str">
        <f>IF(K32="","",VLOOKUP($B32,'Start List'!$B$15:$Y$139,M$8,FALSE))</f>
        <v>SW</v>
      </c>
      <c r="N32" s="150">
        <f>IF($B32="","",VLOOKUP($B32,'Start List'!$B$15:$Y$139,N$8,FALSE))</f>
        <v>248</v>
      </c>
      <c r="O32" s="80">
        <f>IF($B32="","",VLOOKUP($B32,'Start List'!$B$15:$Y$139,O$8,FALSE))</f>
        <v>3</v>
      </c>
      <c r="P32" s="80">
        <f>IF($B32="","",VLOOKUP($B32,'Start List'!$B$15:$Y$139,P$8,FALSE))</f>
        <v>3</v>
      </c>
      <c r="Q32" s="150" t="str">
        <f>IF($B32="","",VLOOKUP($B32,'Start List'!$B$15:$Y$139,Q$8,FALSE))</f>
        <v/>
      </c>
      <c r="R32" s="80">
        <f>IF($B32="","",VLOOKUP($B32,'Start List'!$B$15:$Y$139,R$8,FALSE))</f>
        <v>253</v>
      </c>
      <c r="S32" s="150">
        <f>IF($B32="","",VLOOKUP($B32,'Start List'!$B$15:$Y$139,S$8,FALSE))</f>
        <v>4</v>
      </c>
      <c r="T32" s="150">
        <f>IF($B32="","",VLOOKUP($B32,'Start List'!$B$15:$Y$139,T$8,FALSE))</f>
        <v>1</v>
      </c>
      <c r="U32" s="80" t="str">
        <f>IF($B32="","",VLOOKUP($B32,'Start List'!$B$15:$Y$139,U$8,FALSE))</f>
        <v/>
      </c>
      <c r="V32" s="80">
        <f>IF($B32="","",VLOOKUP($B32,'Start List'!$B$15:$Y$139,V$8,FALSE))</f>
        <v>258</v>
      </c>
      <c r="W32" s="150">
        <f>IF($B32="","",VLOOKUP($B32,'Start List'!$B$15:$Y$139,W$8,FALSE))</f>
        <v>4</v>
      </c>
      <c r="X32" s="80">
        <f>IF($B32="","",VLOOKUP($B32,'Start List'!$B$15:$Y$139,X$8,FALSE))</f>
        <v>5</v>
      </c>
      <c r="Y32" s="80" t="str">
        <f>IF($B32="","",VLOOKUP($B32,'Start List'!$B$15:$Y$139,Y$8,FALSE))</f>
        <v/>
      </c>
      <c r="Z32" s="217">
        <f>IF($B32="","",VLOOKUP($B32,'Start List'!$B$15:$Y$139,Z$8,FALSE))</f>
        <v>759</v>
      </c>
      <c r="AA32" s="218">
        <f>IF($B32="","",VLOOKUP($B32,'Start List'!$B$15:$Y$139,AA$8,FALSE))</f>
        <v>11</v>
      </c>
      <c r="AB32" s="218">
        <f>IF($B32="","",VLOOKUP($B32,'Start List'!$B$15:$Y$139,AB$8,FALSE))</f>
        <v>9</v>
      </c>
    </row>
    <row r="33" spans="1:28" s="83" customFormat="1" ht="12.75" customHeight="1" x14ac:dyDescent="0.2">
      <c r="A33" s="75">
        <f>'Start List'!A39</f>
        <v>25</v>
      </c>
      <c r="B33" s="76">
        <f>IF(A33="","",LARGE('Start List'!$B$15:$B$139,A33))</f>
        <v>755.13037800000006</v>
      </c>
      <c r="C33" s="76" t="str">
        <f t="shared" si="0"/>
        <v>M25</v>
      </c>
      <c r="D33" s="76">
        <f t="shared" si="1"/>
        <v>755.13037800000006</v>
      </c>
      <c r="E33" s="76" t="str">
        <f t="shared" si="2"/>
        <v>A25</v>
      </c>
      <c r="F33" s="80" t="str">
        <f>IF(COUNTIF(Data!$D$2:$D$97,$C33)=0,"",VLOOKUP($C33,Data!$D$2:$H$97,F$8,FALSE))</f>
        <v/>
      </c>
      <c r="G33" s="80" t="str">
        <f>IF(COUNTIF(Data!$D$2:$D$97,$C33)=0,"",VLOOKUP($C33,Data!$D$2:$H$97,G$8,FALSE))</f>
        <v/>
      </c>
      <c r="H33" s="80" t="str">
        <f>IF(COUNTIF(Data!$D$2:$D$97,$C33)=0,"",VLOOKUP($C33,Data!$D$2:$H$97,H$8,FALSE))</f>
        <v/>
      </c>
      <c r="I33" s="80" t="str">
        <f>IF(COUNTIF(Data!$D$2:$D$97,$C33)=0,"",VLOOKUP($C33,Data!$D$2:$H$97,I$8,FALSE))</f>
        <v/>
      </c>
      <c r="J33" s="77" t="str">
        <f>IF(A33="","",VLOOKUP($B33,'Start List'!$B$15:$Y$139,J$8,FALSE))</f>
        <v>Kratochvíla Pavel</v>
      </c>
      <c r="K33" s="77" t="str">
        <f>IF(B33="","",VLOOKUP($B33,'Start List'!$B$15:$Y$139,K$8,FALSE))</f>
        <v>CZE - Plumlov</v>
      </c>
      <c r="L33" s="77" t="str">
        <f>IF(J33="","",VLOOKUP($B33,'Start List'!$B$15:$Y$139,L$8,FALSE))</f>
        <v>CZE - Plumlov</v>
      </c>
      <c r="M33" s="79" t="str">
        <f>IF(K33="","",VLOOKUP($B33,'Start List'!$B$15:$Y$139,M$8,FALSE))</f>
        <v>C</v>
      </c>
      <c r="N33" s="150">
        <f>IF($B33="","",VLOOKUP($B33,'Start List'!$B$15:$Y$139,N$8,FALSE))</f>
        <v>231</v>
      </c>
      <c r="O33" s="80">
        <f>IF($B33="","",VLOOKUP($B33,'Start List'!$B$15:$Y$139,O$8,FALSE))</f>
        <v>5</v>
      </c>
      <c r="P33" s="80">
        <f>IF($B33="","",VLOOKUP($B33,'Start List'!$B$15:$Y$139,P$8,FALSE))</f>
        <v>1</v>
      </c>
      <c r="Q33" s="150" t="str">
        <f>IF($B33="","",VLOOKUP($B33,'Start List'!$B$15:$Y$139,Q$8,FALSE))</f>
        <v/>
      </c>
      <c r="R33" s="80">
        <f>IF($B33="","",VLOOKUP($B33,'Start List'!$B$15:$Y$139,R$8,FALSE))</f>
        <v>259</v>
      </c>
      <c r="S33" s="150">
        <f>IF($B33="","",VLOOKUP($B33,'Start List'!$B$15:$Y$139,S$8,FALSE))</f>
        <v>2</v>
      </c>
      <c r="T33" s="150">
        <f>IF($B33="","",VLOOKUP($B33,'Start List'!$B$15:$Y$139,T$8,FALSE))</f>
        <v>1</v>
      </c>
      <c r="U33" s="80" t="str">
        <f>IF($B33="","",VLOOKUP($B33,'Start List'!$B$15:$Y$139,U$8,FALSE))</f>
        <v/>
      </c>
      <c r="V33" s="80">
        <f>IF($B33="","",VLOOKUP($B33,'Start List'!$B$15:$Y$139,V$8,FALSE))</f>
        <v>265</v>
      </c>
      <c r="W33" s="150">
        <f>IF($B33="","",VLOOKUP($B33,'Start List'!$B$15:$Y$139,W$8,FALSE))</f>
        <v>6</v>
      </c>
      <c r="X33" s="80">
        <f>IF($B33="","",VLOOKUP($B33,'Start List'!$B$15:$Y$139,X$8,FALSE))</f>
        <v>2</v>
      </c>
      <c r="Y33" s="80" t="str">
        <f>IF($B33="","",VLOOKUP($B33,'Start List'!$B$15:$Y$139,Y$8,FALSE))</f>
        <v/>
      </c>
      <c r="Z33" s="217">
        <f>IF($B33="","",VLOOKUP($B33,'Start List'!$B$15:$Y$139,Z$8,FALSE))</f>
        <v>755</v>
      </c>
      <c r="AA33" s="218">
        <f>IF($B33="","",VLOOKUP($B33,'Start List'!$B$15:$Y$139,AA$8,FALSE))</f>
        <v>13</v>
      </c>
      <c r="AB33" s="218">
        <f>IF($B33="","",VLOOKUP($B33,'Start List'!$B$15:$Y$139,AB$8,FALSE))</f>
        <v>4</v>
      </c>
    </row>
    <row r="34" spans="1:28" s="83" customFormat="1" ht="12.75" customHeight="1" x14ac:dyDescent="0.2">
      <c r="A34" s="75">
        <f>'Start List'!A40</f>
        <v>26</v>
      </c>
      <c r="B34" s="76">
        <f>IF(A34="","",LARGE('Start List'!$B$15:$B$139,A34))</f>
        <v>751.06107899999995</v>
      </c>
      <c r="C34" s="76" t="str">
        <f t="shared" si="0"/>
        <v>M26</v>
      </c>
      <c r="D34" s="76">
        <f t="shared" si="1"/>
        <v>751.06107899999995</v>
      </c>
      <c r="E34" s="76" t="str">
        <f t="shared" si="2"/>
        <v>A26</v>
      </c>
      <c r="F34" s="80" t="str">
        <f>IF(COUNTIF(Data!$D$2:$D$97,$C34)=0,"",VLOOKUP($C34,Data!$D$2:$H$97,F$8,FALSE))</f>
        <v/>
      </c>
      <c r="G34" s="80" t="str">
        <f>IF(COUNTIF(Data!$D$2:$D$97,$C34)=0,"",VLOOKUP($C34,Data!$D$2:$H$97,G$8,FALSE))</f>
        <v/>
      </c>
      <c r="H34" s="80" t="str">
        <f>IF(COUNTIF(Data!$D$2:$D$97,$C34)=0,"",VLOOKUP($C34,Data!$D$2:$H$97,H$8,FALSE))</f>
        <v/>
      </c>
      <c r="I34" s="80" t="str">
        <f>IF(COUNTIF(Data!$D$2:$D$97,$C34)=0,"",VLOOKUP($C34,Data!$D$2:$H$97,I$8,FALSE))</f>
        <v/>
      </c>
      <c r="J34" s="77" t="str">
        <f>IF(A34="","",VLOOKUP($B34,'Start List'!$B$15:$Y$139,J$8,FALSE))</f>
        <v>Penezić Ema</v>
      </c>
      <c r="K34" s="77" t="str">
        <f>IF(B34="","",VLOOKUP($B34,'Start List'!$B$15:$Y$139,K$8,FALSE))</f>
        <v>CRO - Predionica</v>
      </c>
      <c r="L34" s="77" t="str">
        <f>IF(J34="","",VLOOKUP($B34,'Start List'!$B$15:$Y$139,L$8,FALSE))</f>
        <v>CRO - Predionica</v>
      </c>
      <c r="M34" s="79" t="str">
        <f>IF(K34="","",VLOOKUP($B34,'Start List'!$B$15:$Y$139,M$8,FALSE))</f>
        <v>C</v>
      </c>
      <c r="N34" s="150">
        <f>IF($B34="","",VLOOKUP($B34,'Start List'!$B$15:$Y$139,N$8,FALSE))</f>
        <v>232</v>
      </c>
      <c r="O34" s="80">
        <f>IF($B34="","",VLOOKUP($B34,'Start List'!$B$15:$Y$139,O$8,FALSE))</f>
        <v>1</v>
      </c>
      <c r="P34" s="80">
        <f>IF($B34="","",VLOOKUP($B34,'Start List'!$B$15:$Y$139,P$8,FALSE))</f>
        <v>1</v>
      </c>
      <c r="Q34" s="150" t="str">
        <f>IF($B34="","",VLOOKUP($B34,'Start List'!$B$15:$Y$139,Q$8,FALSE))</f>
        <v/>
      </c>
      <c r="R34" s="80">
        <f>IF($B34="","",VLOOKUP($B34,'Start List'!$B$15:$Y$139,R$8,FALSE))</f>
        <v>262</v>
      </c>
      <c r="S34" s="150">
        <f>IF($B34="","",VLOOKUP($B34,'Start List'!$B$15:$Y$139,S$8,FALSE))</f>
        <v>2</v>
      </c>
      <c r="T34" s="150">
        <f>IF($B34="","",VLOOKUP($B34,'Start List'!$B$15:$Y$139,T$8,FALSE))</f>
        <v>6</v>
      </c>
      <c r="U34" s="80" t="str">
        <f>IF($B34="","",VLOOKUP($B34,'Start List'!$B$15:$Y$139,U$8,FALSE))</f>
        <v/>
      </c>
      <c r="V34" s="80">
        <f>IF($B34="","",VLOOKUP($B34,'Start List'!$B$15:$Y$139,V$8,FALSE))</f>
        <v>257</v>
      </c>
      <c r="W34" s="150">
        <f>IF($B34="","",VLOOKUP($B34,'Start List'!$B$15:$Y$139,W$8,FALSE))</f>
        <v>3</v>
      </c>
      <c r="X34" s="80">
        <f>IF($B34="","",VLOOKUP($B34,'Start List'!$B$15:$Y$139,X$8,FALSE))</f>
        <v>4</v>
      </c>
      <c r="Y34" s="80" t="str">
        <f>IF($B34="","",VLOOKUP($B34,'Start List'!$B$15:$Y$139,Y$8,FALSE))</f>
        <v/>
      </c>
      <c r="Z34" s="217">
        <f>IF($B34="","",VLOOKUP($B34,'Start List'!$B$15:$Y$139,Z$8,FALSE))</f>
        <v>751</v>
      </c>
      <c r="AA34" s="218">
        <f>IF($B34="","",VLOOKUP($B34,'Start List'!$B$15:$Y$139,AA$8,FALSE))</f>
        <v>6</v>
      </c>
      <c r="AB34" s="218">
        <f>IF($B34="","",VLOOKUP($B34,'Start List'!$B$15:$Y$139,AB$8,FALSE))</f>
        <v>11</v>
      </c>
    </row>
    <row r="35" spans="1:28" s="83" customFormat="1" ht="12.75" customHeight="1" collapsed="1" x14ac:dyDescent="0.2">
      <c r="A35" s="75">
        <f>'Start List'!A41</f>
        <v>27</v>
      </c>
      <c r="B35" s="76">
        <f>IF(A35="","",LARGE('Start List'!$B$15:$B$139,A35))</f>
        <v>737.11057299999993</v>
      </c>
      <c r="C35" s="76" t="str">
        <f t="shared" si="0"/>
        <v>M27</v>
      </c>
      <c r="D35" s="76">
        <f t="shared" si="1"/>
        <v>737.11057299999993</v>
      </c>
      <c r="E35" s="76" t="str">
        <f t="shared" si="2"/>
        <v>A27</v>
      </c>
      <c r="F35" s="80" t="str">
        <f>IF(COUNTIF(Data!$D$2:$D$97,$C35)=0,"",VLOOKUP($C35,Data!$D$2:$H$97,F$8,FALSE))</f>
        <v/>
      </c>
      <c r="G35" s="80" t="str">
        <f>IF(COUNTIF(Data!$D$2:$D$97,$C35)=0,"",VLOOKUP($C35,Data!$D$2:$H$97,G$8,FALSE))</f>
        <v/>
      </c>
      <c r="H35" s="80" t="str">
        <f>IF(COUNTIF(Data!$D$2:$D$97,$C35)=0,"",VLOOKUP($C35,Data!$D$2:$H$97,H$8,FALSE))</f>
        <v/>
      </c>
      <c r="I35" s="80" t="str">
        <f>IF(COUNTIF(Data!$D$2:$D$97,$C35)=0,"",VLOOKUP($C35,Data!$D$2:$H$97,I$8,FALSE))</f>
        <v/>
      </c>
      <c r="J35" s="77" t="str">
        <f>IF(A35="","",VLOOKUP($B35,'Start List'!$B$15:$Y$139,J$8,FALSE))</f>
        <v>Losert Václav</v>
      </c>
      <c r="K35" s="77" t="str">
        <f>IF(B35="","",VLOOKUP($B35,'Start List'!$B$15:$Y$139,K$8,FALSE))</f>
        <v>CZE - TJ Opava</v>
      </c>
      <c r="L35" s="77" t="str">
        <f>IF(J35="","",VLOOKUP($B35,'Start List'!$B$15:$Y$139,L$8,FALSE))</f>
        <v>CZE - TJ Opava</v>
      </c>
      <c r="M35" s="79" t="str">
        <f>IF(K35="","",VLOOKUP($B35,'Start List'!$B$15:$Y$139,M$8,FALSE))</f>
        <v>SM</v>
      </c>
      <c r="N35" s="150">
        <f>IF($B35="","",VLOOKUP($B35,'Start List'!$B$15:$Y$139,N$8,FALSE))</f>
        <v>213</v>
      </c>
      <c r="O35" s="80">
        <f>IF($B35="","",VLOOKUP($B35,'Start List'!$B$15:$Y$139,O$8,FALSE))</f>
        <v>0</v>
      </c>
      <c r="P35" s="80">
        <f>IF($B35="","",VLOOKUP($B35,'Start List'!$B$15:$Y$139,P$8,FALSE))</f>
        <v>0</v>
      </c>
      <c r="Q35" s="150" t="str">
        <f>IF($B35="","",VLOOKUP($B35,'Start List'!$B$15:$Y$139,Q$8,FALSE))</f>
        <v/>
      </c>
      <c r="R35" s="80">
        <f>IF($B35="","",VLOOKUP($B35,'Start List'!$B$15:$Y$139,R$8,FALSE))</f>
        <v>263</v>
      </c>
      <c r="S35" s="150">
        <f>IF($B35="","",VLOOKUP($B35,'Start List'!$B$15:$Y$139,S$8,FALSE))</f>
        <v>6</v>
      </c>
      <c r="T35" s="150">
        <f>IF($B35="","",VLOOKUP($B35,'Start List'!$B$15:$Y$139,T$8,FALSE))</f>
        <v>2</v>
      </c>
      <c r="U35" s="80" t="str">
        <f>IF($B35="","",VLOOKUP($B35,'Start List'!$B$15:$Y$139,U$8,FALSE))</f>
        <v/>
      </c>
      <c r="V35" s="80">
        <f>IF($B35="","",VLOOKUP($B35,'Start List'!$B$15:$Y$139,V$8,FALSE))</f>
        <v>261</v>
      </c>
      <c r="W35" s="150">
        <f>IF($B35="","",VLOOKUP($B35,'Start List'!$B$15:$Y$139,W$8,FALSE))</f>
        <v>5</v>
      </c>
      <c r="X35" s="80">
        <f>IF($B35="","",VLOOKUP($B35,'Start List'!$B$15:$Y$139,X$8,FALSE))</f>
        <v>4</v>
      </c>
      <c r="Y35" s="80" t="str">
        <f>IF($B35="","",VLOOKUP($B35,'Start List'!$B$15:$Y$139,Y$8,FALSE))</f>
        <v/>
      </c>
      <c r="Z35" s="217">
        <f>IF($B35="","",VLOOKUP($B35,'Start List'!$B$15:$Y$139,Z$8,FALSE))</f>
        <v>737</v>
      </c>
      <c r="AA35" s="218">
        <f>IF($B35="","",VLOOKUP($B35,'Start List'!$B$15:$Y$139,AA$8,FALSE))</f>
        <v>11</v>
      </c>
      <c r="AB35" s="218">
        <f>IF($B35="","",VLOOKUP($B35,'Start List'!$B$15:$Y$139,AB$8,FALSE))</f>
        <v>6</v>
      </c>
    </row>
    <row r="36" spans="1:28" ht="12.75" customHeight="1" x14ac:dyDescent="0.2">
      <c r="A36" s="75">
        <f>'Start List'!A42</f>
        <v>28</v>
      </c>
      <c r="B36" s="76">
        <f>IF(A36="","",LARGE('Start List'!$B$15:$B$139,A36))</f>
        <v>735.04057399999988</v>
      </c>
      <c r="C36" s="76" t="str">
        <f t="shared" si="0"/>
        <v>M28</v>
      </c>
      <c r="D36" s="76">
        <f t="shared" si="1"/>
        <v>735.04057399999988</v>
      </c>
      <c r="E36" s="76" t="str">
        <f t="shared" si="2"/>
        <v>A28</v>
      </c>
      <c r="F36" s="80" t="str">
        <f>IF(COUNTIF(Data!$D$2:$D$97,$C36)=0,"",VLOOKUP($C36,Data!$D$2:$H$97,F$8,FALSE))</f>
        <v/>
      </c>
      <c r="G36" s="80" t="str">
        <f>IF(COUNTIF(Data!$D$2:$D$97,$C36)=0,"",VLOOKUP($C36,Data!$D$2:$H$97,G$8,FALSE))</f>
        <v/>
      </c>
      <c r="H36" s="80" t="str">
        <f>IF(COUNTIF(Data!$D$2:$D$97,$C36)=0,"",VLOOKUP($C36,Data!$D$2:$H$97,H$8,FALSE))</f>
        <v/>
      </c>
      <c r="I36" s="80" t="str">
        <f>IF(COUNTIF(Data!$D$2:$D$97,$C36)=0,"",VLOOKUP($C36,Data!$D$2:$H$97,I$8,FALSE))</f>
        <v/>
      </c>
      <c r="J36" s="77" t="str">
        <f>IF(A36="","",VLOOKUP($B36,'Start List'!$B$15:$Y$139,J$8,FALSE))</f>
        <v>Baborák František</v>
      </c>
      <c r="K36" s="77" t="str">
        <f>IF(B36="","",VLOOKUP($B36,'Start List'!$B$15:$Y$139,K$8,FALSE))</f>
        <v>CZE - Plumlov</v>
      </c>
      <c r="L36" s="77" t="str">
        <f>IF(J36="","",VLOOKUP($B36,'Start List'!$B$15:$Y$139,L$8,FALSE))</f>
        <v>CZE - Plumlov</v>
      </c>
      <c r="M36" s="79" t="str">
        <f>IF(K36="","",VLOOKUP($B36,'Start List'!$B$15:$Y$139,M$8,FALSE))</f>
        <v>SM</v>
      </c>
      <c r="N36" s="150">
        <f>IF($B36="","",VLOOKUP($B36,'Start List'!$B$15:$Y$139,N$8,FALSE))</f>
        <v>216</v>
      </c>
      <c r="O36" s="80">
        <f>IF($B36="","",VLOOKUP($B36,'Start List'!$B$15:$Y$139,O$8,FALSE))</f>
        <v>0</v>
      </c>
      <c r="P36" s="80">
        <f>IF($B36="","",VLOOKUP($B36,'Start List'!$B$15:$Y$139,P$8,FALSE))</f>
        <v>1</v>
      </c>
      <c r="Q36" s="150" t="str">
        <f>IF($B36="","",VLOOKUP($B36,'Start List'!$B$15:$Y$139,Q$8,FALSE))</f>
        <v/>
      </c>
      <c r="R36" s="80">
        <f>IF($B36="","",VLOOKUP($B36,'Start List'!$B$15:$Y$139,R$8,FALSE))</f>
        <v>261</v>
      </c>
      <c r="S36" s="150">
        <f>IF($B36="","",VLOOKUP($B36,'Start List'!$B$15:$Y$139,S$8,FALSE))</f>
        <v>1</v>
      </c>
      <c r="T36" s="150">
        <f>IF($B36="","",VLOOKUP($B36,'Start List'!$B$15:$Y$139,T$8,FALSE))</f>
        <v>1</v>
      </c>
      <c r="U36" s="80" t="str">
        <f>IF($B36="","",VLOOKUP($B36,'Start List'!$B$15:$Y$139,U$8,FALSE))</f>
        <v/>
      </c>
      <c r="V36" s="80">
        <f>IF($B36="","",VLOOKUP($B36,'Start List'!$B$15:$Y$139,V$8,FALSE))</f>
        <v>258</v>
      </c>
      <c r="W36" s="150">
        <f>IF($B36="","",VLOOKUP($B36,'Start List'!$B$15:$Y$139,W$8,FALSE))</f>
        <v>3</v>
      </c>
      <c r="X36" s="80">
        <f>IF($B36="","",VLOOKUP($B36,'Start List'!$B$15:$Y$139,X$8,FALSE))</f>
        <v>4</v>
      </c>
      <c r="Y36" s="80" t="str">
        <f>IF($B36="","",VLOOKUP($B36,'Start List'!$B$15:$Y$139,Y$8,FALSE))</f>
        <v/>
      </c>
      <c r="Z36" s="217">
        <f>IF($B36="","",VLOOKUP($B36,'Start List'!$B$15:$Y$139,Z$8,FALSE))</f>
        <v>735</v>
      </c>
      <c r="AA36" s="218">
        <f>IF($B36="","",VLOOKUP($B36,'Start List'!$B$15:$Y$139,AA$8,FALSE))</f>
        <v>4</v>
      </c>
      <c r="AB36" s="218">
        <f>IF($B36="","",VLOOKUP($B36,'Start List'!$B$15:$Y$139,AB$8,FALSE))</f>
        <v>6</v>
      </c>
    </row>
    <row r="37" spans="1:28" ht="12.75" customHeight="1" x14ac:dyDescent="0.2">
      <c r="A37" s="75">
        <f>'Start List'!A43</f>
        <v>29</v>
      </c>
      <c r="B37" s="76">
        <f>IF(A37="","",LARGE('Start List'!$B$15:$B$139,A37))</f>
        <v>718.08097099999998</v>
      </c>
      <c r="C37" s="76" t="str">
        <f t="shared" si="0"/>
        <v>M29</v>
      </c>
      <c r="D37" s="76">
        <f t="shared" si="1"/>
        <v>718.08097099999998</v>
      </c>
      <c r="E37" s="76" t="str">
        <f t="shared" si="2"/>
        <v>A29</v>
      </c>
      <c r="F37" s="80" t="str">
        <f>IF(COUNTIF(Data!$D$2:$D$97,$C37)=0,"",VLOOKUP($C37,Data!$D$2:$H$97,F$8,FALSE))</f>
        <v/>
      </c>
      <c r="G37" s="80" t="str">
        <f>IF(COUNTIF(Data!$D$2:$D$97,$C37)=0,"",VLOOKUP($C37,Data!$D$2:$H$97,G$8,FALSE))</f>
        <v/>
      </c>
      <c r="H37" s="80" t="str">
        <f>IF(COUNTIF(Data!$D$2:$D$97,$C37)=0,"",VLOOKUP($C37,Data!$D$2:$H$97,H$8,FALSE))</f>
        <v/>
      </c>
      <c r="I37" s="80" t="str">
        <f>IF(COUNTIF(Data!$D$2:$D$97,$C37)=0,"",VLOOKUP($C37,Data!$D$2:$H$97,I$8,FALSE))</f>
        <v/>
      </c>
      <c r="J37" s="77" t="str">
        <f>IF(A37="","",VLOOKUP($B37,'Start List'!$B$15:$Y$139,J$8,FALSE))</f>
        <v>Palotai Gyula</v>
      </c>
      <c r="K37" s="77" t="str">
        <f>IF(B37="","",VLOOKUP($B37,'Start List'!$B$15:$Y$139,K$8,FALSE))</f>
        <v>HUN - Hungarian Shooting Federation</v>
      </c>
      <c r="L37" s="77" t="str">
        <f>IF(J37="","",VLOOKUP($B37,'Start List'!$B$15:$Y$139,L$8,FALSE))</f>
        <v>HUN - Hungarian Shooting Federation</v>
      </c>
      <c r="M37" s="79" t="str">
        <f>IF(K37="","",VLOOKUP($B37,'Start List'!$B$15:$Y$139,M$8,FALSE))</f>
        <v>SM</v>
      </c>
      <c r="N37" s="150">
        <f>IF($B37="","",VLOOKUP($B37,'Start List'!$B$15:$Y$139,N$8,FALSE))</f>
        <v>199</v>
      </c>
      <c r="O37" s="80">
        <f>IF($B37="","",VLOOKUP($B37,'Start List'!$B$15:$Y$139,O$8,FALSE))</f>
        <v>1</v>
      </c>
      <c r="P37" s="80">
        <f>IF($B37="","",VLOOKUP($B37,'Start List'!$B$15:$Y$139,P$8,FALSE))</f>
        <v>2</v>
      </c>
      <c r="Q37" s="150" t="str">
        <f>IF($B37="","",VLOOKUP($B37,'Start List'!$B$15:$Y$139,Q$8,FALSE))</f>
        <v/>
      </c>
      <c r="R37" s="80">
        <f>IF($B37="","",VLOOKUP($B37,'Start List'!$B$15:$Y$139,R$8,FALSE))</f>
        <v>261</v>
      </c>
      <c r="S37" s="150">
        <f>IF($B37="","",VLOOKUP($B37,'Start List'!$B$15:$Y$139,S$8,FALSE))</f>
        <v>4</v>
      </c>
      <c r="T37" s="150">
        <f>IF($B37="","",VLOOKUP($B37,'Start List'!$B$15:$Y$139,T$8,FALSE))</f>
        <v>4</v>
      </c>
      <c r="U37" s="80" t="str">
        <f>IF($B37="","",VLOOKUP($B37,'Start List'!$B$15:$Y$139,U$8,FALSE))</f>
        <v/>
      </c>
      <c r="V37" s="80">
        <f>IF($B37="","",VLOOKUP($B37,'Start List'!$B$15:$Y$139,V$8,FALSE))</f>
        <v>258</v>
      </c>
      <c r="W37" s="150">
        <f>IF($B37="","",VLOOKUP($B37,'Start List'!$B$15:$Y$139,W$8,FALSE))</f>
        <v>3</v>
      </c>
      <c r="X37" s="80">
        <f>IF($B37="","",VLOOKUP($B37,'Start List'!$B$15:$Y$139,X$8,FALSE))</f>
        <v>4</v>
      </c>
      <c r="Y37" s="80" t="str">
        <f>IF($B37="","",VLOOKUP($B37,'Start List'!$B$15:$Y$139,Y$8,FALSE))</f>
        <v/>
      </c>
      <c r="Z37" s="217">
        <f>IF($B37="","",VLOOKUP($B37,'Start List'!$B$15:$Y$139,Z$8,FALSE))</f>
        <v>718</v>
      </c>
      <c r="AA37" s="218">
        <f>IF($B37="","",VLOOKUP($B37,'Start List'!$B$15:$Y$139,AA$8,FALSE))</f>
        <v>8</v>
      </c>
      <c r="AB37" s="218">
        <f>IF($B37="","",VLOOKUP($B37,'Start List'!$B$15:$Y$139,AB$8,FALSE))</f>
        <v>10</v>
      </c>
    </row>
    <row r="38" spans="1:28" ht="12.75" customHeight="1" x14ac:dyDescent="0.2">
      <c r="A38" s="75">
        <f>'Start List'!A44</f>
        <v>30</v>
      </c>
      <c r="B38" s="76">
        <f>IF(A38="","",LARGE('Start List'!$B$15:$B$139,A38))</f>
        <v>695.11028500000009</v>
      </c>
      <c r="C38" s="76" t="str">
        <f t="shared" si="0"/>
        <v>M30</v>
      </c>
      <c r="D38" s="76">
        <f t="shared" si="1"/>
        <v>695.11028500000009</v>
      </c>
      <c r="E38" s="76" t="str">
        <f t="shared" si="2"/>
        <v>A30</v>
      </c>
      <c r="F38" s="80" t="str">
        <f>IF(COUNTIF(Data!$D$2:$D$97,$C38)=0,"",VLOOKUP($C38,Data!$D$2:$H$97,F$8,FALSE))</f>
        <v/>
      </c>
      <c r="G38" s="80" t="str">
        <f>IF(COUNTIF(Data!$D$2:$D$97,$C38)=0,"",VLOOKUP($C38,Data!$D$2:$H$97,G$8,FALSE))</f>
        <v/>
      </c>
      <c r="H38" s="80" t="str">
        <f>IF(COUNTIF(Data!$D$2:$D$97,$C38)=0,"",VLOOKUP($C38,Data!$D$2:$H$97,H$8,FALSE))</f>
        <v/>
      </c>
      <c r="I38" s="80" t="str">
        <f>IF(COUNTIF(Data!$D$2:$D$97,$C38)=0,"",VLOOKUP($C38,Data!$D$2:$H$97,I$8,FALSE))</f>
        <v/>
      </c>
      <c r="J38" s="77" t="str">
        <f>IF(A38="","",VLOOKUP($B38,'Start List'!$B$15:$Y$139,J$8,FALSE))</f>
        <v>Mikeštík Martin</v>
      </c>
      <c r="K38" s="77" t="str">
        <f>IF(B38="","",VLOOKUP($B38,'Start List'!$B$15:$Y$139,K$8,FALSE))</f>
        <v>CZE - Otrokovice</v>
      </c>
      <c r="L38" s="77" t="str">
        <f>IF(J38="","",VLOOKUP($B38,'Start List'!$B$15:$Y$139,L$8,FALSE))</f>
        <v>CZE - Otrokovice</v>
      </c>
      <c r="M38" s="79" t="str">
        <f>IF(K38="","",VLOOKUP($B38,'Start List'!$B$15:$Y$139,M$8,FALSE))</f>
        <v>C</v>
      </c>
      <c r="N38" s="150">
        <f>IF($B38="","",VLOOKUP($B38,'Start List'!$B$15:$Y$139,N$8,FALSE))</f>
        <v>228</v>
      </c>
      <c r="O38" s="80">
        <f>IF($B38="","",VLOOKUP($B38,'Start List'!$B$15:$Y$139,O$8,FALSE))</f>
        <v>2</v>
      </c>
      <c r="P38" s="80">
        <f>IF($B38="","",VLOOKUP($B38,'Start List'!$B$15:$Y$139,P$8,FALSE))</f>
        <v>0</v>
      </c>
      <c r="Q38" s="150" t="str">
        <f>IF($B38="","",VLOOKUP($B38,'Start List'!$B$15:$Y$139,Q$8,FALSE))</f>
        <v/>
      </c>
      <c r="R38" s="80">
        <f>IF($B38="","",VLOOKUP($B38,'Start List'!$B$15:$Y$139,R$8,FALSE))</f>
        <v>248</v>
      </c>
      <c r="S38" s="150">
        <f>IF($B38="","",VLOOKUP($B38,'Start List'!$B$15:$Y$139,S$8,FALSE))</f>
        <v>4</v>
      </c>
      <c r="T38" s="150">
        <f>IF($B38="","",VLOOKUP($B38,'Start List'!$B$15:$Y$139,T$8,FALSE))</f>
        <v>1</v>
      </c>
      <c r="U38" s="80" t="str">
        <f>IF($B38="","",VLOOKUP($B38,'Start List'!$B$15:$Y$139,U$8,FALSE))</f>
        <v/>
      </c>
      <c r="V38" s="80">
        <f>IF($B38="","",VLOOKUP($B38,'Start List'!$B$15:$Y$139,V$8,FALSE))</f>
        <v>219</v>
      </c>
      <c r="W38" s="150">
        <f>IF($B38="","",VLOOKUP($B38,'Start List'!$B$15:$Y$139,W$8,FALSE))</f>
        <v>5</v>
      </c>
      <c r="X38" s="80">
        <f>IF($B38="","",VLOOKUP($B38,'Start List'!$B$15:$Y$139,X$8,FALSE))</f>
        <v>2</v>
      </c>
      <c r="Y38" s="80" t="str">
        <f>IF($B38="","",VLOOKUP($B38,'Start List'!$B$15:$Y$139,Y$8,FALSE))</f>
        <v/>
      </c>
      <c r="Z38" s="217">
        <f>IF($B38="","",VLOOKUP($B38,'Start List'!$B$15:$Y$139,Z$8,FALSE))</f>
        <v>695</v>
      </c>
      <c r="AA38" s="218">
        <f>IF($B38="","",VLOOKUP($B38,'Start List'!$B$15:$Y$139,AA$8,FALSE))</f>
        <v>11</v>
      </c>
      <c r="AB38" s="218">
        <f>IF($B38="","",VLOOKUP($B38,'Start List'!$B$15:$Y$139,AB$8,FALSE))</f>
        <v>3</v>
      </c>
    </row>
    <row r="39" spans="1:28" s="78" customFormat="1" ht="12.75" customHeight="1" x14ac:dyDescent="0.2">
      <c r="A39" s="75">
        <f>'Start List'!A45</f>
        <v>31</v>
      </c>
      <c r="B39" s="76">
        <f>IF(A39="","",LARGE('Start List'!$B$15:$B$139,A39))</f>
        <v>609.02038100000004</v>
      </c>
      <c r="C39" s="76" t="str">
        <f t="shared" si="0"/>
        <v>M31</v>
      </c>
      <c r="D39" s="76">
        <f t="shared" si="1"/>
        <v>609.02038100000004</v>
      </c>
      <c r="E39" s="76" t="str">
        <f t="shared" si="2"/>
        <v>A31</v>
      </c>
      <c r="F39" s="80" t="str">
        <f>IF(COUNTIF(Data!$D$2:$D$97,$C39)=0,"",VLOOKUP($C39,Data!$D$2:$H$97,F$8,FALSE))</f>
        <v/>
      </c>
      <c r="G39" s="80" t="str">
        <f>IF(COUNTIF(Data!$D$2:$D$97,$C39)=0,"",VLOOKUP($C39,Data!$D$2:$H$97,G$8,FALSE))</f>
        <v/>
      </c>
      <c r="H39" s="80" t="str">
        <f>IF(COUNTIF(Data!$D$2:$D$97,$C39)=0,"",VLOOKUP($C39,Data!$D$2:$H$97,H$8,FALSE))</f>
        <v/>
      </c>
      <c r="I39" s="80" t="str">
        <f>IF(COUNTIF(Data!$D$2:$D$97,$C39)=0,"",VLOOKUP($C39,Data!$D$2:$H$97,I$8,FALSE))</f>
        <v/>
      </c>
      <c r="J39" s="77" t="str">
        <f>IF(A39="","",VLOOKUP($B39,'Start List'!$B$15:$Y$139,J$8,FALSE))</f>
        <v>Štěpán Špaček</v>
      </c>
      <c r="K39" s="77" t="str">
        <f>IF(B39="","",VLOOKUP($B39,'Start List'!$B$15:$Y$139,K$8,FALSE))</f>
        <v>CZE - Otrokovice</v>
      </c>
      <c r="L39" s="77" t="str">
        <f>IF(J39="","",VLOOKUP($B39,'Start List'!$B$15:$Y$139,L$8,FALSE))</f>
        <v>CZE - Otrokovice</v>
      </c>
      <c r="M39" s="79" t="str">
        <f>IF(K39="","",VLOOKUP($B39,'Start List'!$B$15:$Y$139,M$8,FALSE))</f>
        <v>C</v>
      </c>
      <c r="N39" s="150">
        <f>IF($B39="","",VLOOKUP($B39,'Start List'!$B$15:$Y$139,N$8,FALSE))</f>
        <v>193</v>
      </c>
      <c r="O39" s="80">
        <f>IF($B39="","",VLOOKUP($B39,'Start List'!$B$15:$Y$139,O$8,FALSE))</f>
        <v>0</v>
      </c>
      <c r="P39" s="80">
        <f>IF($B39="","",VLOOKUP($B39,'Start List'!$B$15:$Y$139,P$8,FALSE))</f>
        <v>1</v>
      </c>
      <c r="Q39" s="150" t="str">
        <f>IF($B39="","",VLOOKUP($B39,'Start List'!$B$15:$Y$139,Q$8,FALSE))</f>
        <v/>
      </c>
      <c r="R39" s="80">
        <f>IF($B39="","",VLOOKUP($B39,'Start List'!$B$15:$Y$139,R$8,FALSE))</f>
        <v>237</v>
      </c>
      <c r="S39" s="150">
        <f>IF($B39="","",VLOOKUP($B39,'Start List'!$B$15:$Y$139,S$8,FALSE))</f>
        <v>2</v>
      </c>
      <c r="T39" s="150">
        <f>IF($B39="","",VLOOKUP($B39,'Start List'!$B$15:$Y$139,T$8,FALSE))</f>
        <v>1</v>
      </c>
      <c r="U39" s="80" t="str">
        <f>IF($B39="","",VLOOKUP($B39,'Start List'!$B$15:$Y$139,U$8,FALSE))</f>
        <v/>
      </c>
      <c r="V39" s="80">
        <f>IF($B39="","",VLOOKUP($B39,'Start List'!$B$15:$Y$139,V$8,FALSE))</f>
        <v>179</v>
      </c>
      <c r="W39" s="150">
        <f>IF($B39="","",VLOOKUP($B39,'Start List'!$B$15:$Y$139,W$8,FALSE))</f>
        <v>0</v>
      </c>
      <c r="X39" s="80">
        <f>IF($B39="","",VLOOKUP($B39,'Start List'!$B$15:$Y$139,X$8,FALSE))</f>
        <v>2</v>
      </c>
      <c r="Y39" s="80" t="str">
        <f>IF($B39="","",VLOOKUP($B39,'Start List'!$B$15:$Y$139,Y$8,FALSE))</f>
        <v/>
      </c>
      <c r="Z39" s="217">
        <f>IF($B39="","",VLOOKUP($B39,'Start List'!$B$15:$Y$139,Z$8,FALSE))</f>
        <v>609</v>
      </c>
      <c r="AA39" s="218">
        <f>IF($B39="","",VLOOKUP($B39,'Start List'!$B$15:$Y$139,AA$8,FALSE))</f>
        <v>2</v>
      </c>
      <c r="AB39" s="218">
        <f>IF($B39="","",VLOOKUP($B39,'Start List'!$B$15:$Y$139,AB$8,FALSE))</f>
        <v>4</v>
      </c>
    </row>
    <row r="40" spans="1:28" ht="12.75" customHeight="1" x14ac:dyDescent="0.2">
      <c r="A40" s="75">
        <f>'Start List'!A46</f>
        <v>32</v>
      </c>
      <c r="B40" s="76">
        <f>IF(A40="","",LARGE('Start List'!$B$15:$B$139,A40))</f>
        <v>-2.8E-5</v>
      </c>
      <c r="C40" s="76" t="str">
        <f t="shared" si="0"/>
        <v>M32</v>
      </c>
      <c r="D40" s="76">
        <f t="shared" si="1"/>
        <v>-2.8E-5</v>
      </c>
      <c r="E40" s="76" t="str">
        <f t="shared" si="2"/>
        <v>A32</v>
      </c>
      <c r="F40" s="80" t="str">
        <f>IF(COUNTIF(Data!$D$2:$D$97,$C40)=0,"",VLOOKUP($C40,Data!$D$2:$H$97,F$8,FALSE))</f>
        <v/>
      </c>
      <c r="G40" s="80" t="str">
        <f>IF(COUNTIF(Data!$D$2:$D$97,$C40)=0,"",VLOOKUP($C40,Data!$D$2:$H$97,G$8,FALSE))</f>
        <v/>
      </c>
      <c r="H40" s="80" t="str">
        <f>IF(COUNTIF(Data!$D$2:$D$97,$C40)=0,"",VLOOKUP($C40,Data!$D$2:$H$97,H$8,FALSE))</f>
        <v/>
      </c>
      <c r="I40" s="80" t="str">
        <f>IF(COUNTIF(Data!$D$2:$D$97,$C40)=0,"",VLOOKUP($C40,Data!$D$2:$H$97,I$8,FALSE))</f>
        <v/>
      </c>
      <c r="J40" s="77" t="str">
        <f>IF(A40="","",VLOOKUP($B40,'Start List'!$B$15:$Y$139,J$8,FALSE))</f>
        <v>Sedláček František</v>
      </c>
      <c r="K40" s="77" t="str">
        <f>IF(B40="","",VLOOKUP($B40,'Start List'!$B$15:$Y$139,K$8,FALSE))</f>
        <v>CZE - Savana</v>
      </c>
      <c r="L40" s="77" t="str">
        <f>IF(J40="","",VLOOKUP($B40,'Start List'!$B$15:$Y$139,L$8,FALSE))</f>
        <v>CZE - Savana</v>
      </c>
      <c r="M40" s="79" t="str">
        <f>IF(K40="","",VLOOKUP($B40,'Start List'!$B$15:$Y$139,M$8,FALSE))</f>
        <v>SM</v>
      </c>
      <c r="N40" s="150">
        <f>IF($B40="","",VLOOKUP($B40,'Start List'!$B$15:$Y$139,N$8,FALSE))</f>
        <v>0</v>
      </c>
      <c r="O40" s="80">
        <f>IF($B40="","",VLOOKUP($B40,'Start List'!$B$15:$Y$139,O$8,FALSE))</f>
        <v>0</v>
      </c>
      <c r="P40" s="80">
        <f>IF($B40="","",VLOOKUP($B40,'Start List'!$B$15:$Y$139,P$8,FALSE))</f>
        <v>0</v>
      </c>
      <c r="Q40" s="150" t="str">
        <f>IF($B40="","",VLOOKUP($B40,'Start List'!$B$15:$Y$139,Q$8,FALSE))</f>
        <v/>
      </c>
      <c r="R40" s="80">
        <f>IF($B40="","",VLOOKUP($B40,'Start List'!$B$15:$Y$139,R$8,FALSE))</f>
        <v>0</v>
      </c>
      <c r="S40" s="150">
        <f>IF($B40="","",VLOOKUP($B40,'Start List'!$B$15:$Y$139,S$8,FALSE))</f>
        <v>0</v>
      </c>
      <c r="T40" s="150">
        <f>IF($B40="","",VLOOKUP($B40,'Start List'!$B$15:$Y$139,T$8,FALSE))</f>
        <v>0</v>
      </c>
      <c r="U40" s="80" t="str">
        <f>IF($B40="","",VLOOKUP($B40,'Start List'!$B$15:$Y$139,U$8,FALSE))</f>
        <v/>
      </c>
      <c r="V40" s="80">
        <f>IF($B40="","",VLOOKUP($B40,'Start List'!$B$15:$Y$139,V$8,FALSE))</f>
        <v>0</v>
      </c>
      <c r="W40" s="150">
        <f>IF($B40="","",VLOOKUP($B40,'Start List'!$B$15:$Y$139,W$8,FALSE))</f>
        <v>0</v>
      </c>
      <c r="X40" s="80">
        <f>IF($B40="","",VLOOKUP($B40,'Start List'!$B$15:$Y$139,X$8,FALSE))</f>
        <v>0</v>
      </c>
      <c r="Y40" s="80">
        <f>IF($B40="","",VLOOKUP($B40,'Start List'!$B$15:$Y$139,Y$8,FALSE))</f>
        <v>0</v>
      </c>
      <c r="Z40" s="217">
        <f>IF($B40="","",VLOOKUP($B40,'Start List'!$B$15:$Y$139,Z$8,FALSE))</f>
        <v>0</v>
      </c>
      <c r="AA40" s="218">
        <f>IF($B40="","",VLOOKUP($B40,'Start List'!$B$15:$Y$139,AA$8,FALSE))</f>
        <v>0</v>
      </c>
      <c r="AB40" s="218">
        <f>IF($B40="","",VLOOKUP($B40,'Start List'!$B$15:$Y$139,AB$8,FALSE))</f>
        <v>0</v>
      </c>
    </row>
    <row r="41" spans="1:28" ht="12.75" customHeight="1" x14ac:dyDescent="0.2">
      <c r="A41" s="75" t="str">
        <f>'Start List'!A47</f>
        <v/>
      </c>
      <c r="B41" s="76" t="str">
        <f>IF(A41="","",LARGE('Start List'!$B$15:$B$139,A41))</f>
        <v/>
      </c>
      <c r="C41" s="76" t="str">
        <f t="shared" si="0"/>
        <v/>
      </c>
      <c r="D41" s="76" t="str">
        <f t="shared" si="1"/>
        <v/>
      </c>
      <c r="E41" s="76" t="str">
        <f t="shared" si="2"/>
        <v/>
      </c>
      <c r="F41" s="80" t="str">
        <f>IF(COUNTIF(Data!$D$2:$D$97,$C41)=0,"",VLOOKUP($C41,Data!$D$2:$H$97,F$8,FALSE))</f>
        <v/>
      </c>
      <c r="G41" s="80" t="str">
        <f>IF(COUNTIF(Data!$D$2:$D$97,$C41)=0,"",VLOOKUP($C41,Data!$D$2:$H$97,G$8,FALSE))</f>
        <v/>
      </c>
      <c r="H41" s="80" t="str">
        <f>IF(COUNTIF(Data!$D$2:$D$97,$C41)=0,"",VLOOKUP($C41,Data!$D$2:$H$97,H$8,FALSE))</f>
        <v/>
      </c>
      <c r="I41" s="80" t="str">
        <f>IF(COUNTIF(Data!$D$2:$D$97,$C41)=0,"",VLOOKUP($C41,Data!$D$2:$H$97,I$8,FALSE))</f>
        <v/>
      </c>
      <c r="J41" s="77" t="str">
        <f>IF(A41="","",VLOOKUP($B41,'Start List'!$B$15:$Y$139,J$8,FALSE))</f>
        <v/>
      </c>
      <c r="K41" s="77" t="str">
        <f>IF(B41="","",VLOOKUP($B41,'Start List'!$B$15:$Y$139,K$8,FALSE))</f>
        <v/>
      </c>
      <c r="L41" s="77" t="str">
        <f>IF(J41="","",VLOOKUP($B41,'Start List'!$B$15:$Y$139,L$8,FALSE))</f>
        <v/>
      </c>
      <c r="M41" s="79" t="str">
        <f>IF(K41="","",VLOOKUP($B41,'Start List'!$B$15:$Y$139,M$8,FALSE))</f>
        <v/>
      </c>
      <c r="N41" s="150" t="str">
        <f>IF($B41="","",VLOOKUP($B41,'Start List'!$B$15:$Y$139,N$8,FALSE))</f>
        <v/>
      </c>
      <c r="O41" s="80" t="str">
        <f>IF($B41="","",VLOOKUP($B41,'Start List'!$B$15:$Y$139,O$8,FALSE))</f>
        <v/>
      </c>
      <c r="P41" s="80" t="str">
        <f>IF($B41="","",VLOOKUP($B41,'Start List'!$B$15:$Y$139,P$8,FALSE))</f>
        <v/>
      </c>
      <c r="Q41" s="150" t="str">
        <f>IF($B41="","",VLOOKUP($B41,'Start List'!$B$15:$Y$139,Q$8,FALSE))</f>
        <v/>
      </c>
      <c r="R41" s="80" t="str">
        <f>IF($B41="","",VLOOKUP($B41,'Start List'!$B$15:$Y$139,R$8,FALSE))</f>
        <v/>
      </c>
      <c r="S41" s="150" t="str">
        <f>IF($B41="","",VLOOKUP($B41,'Start List'!$B$15:$Y$139,S$8,FALSE))</f>
        <v/>
      </c>
      <c r="T41" s="150" t="str">
        <f>IF($B41="","",VLOOKUP($B41,'Start List'!$B$15:$Y$139,T$8,FALSE))</f>
        <v/>
      </c>
      <c r="U41" s="80" t="str">
        <f>IF($B41="","",VLOOKUP($B41,'Start List'!$B$15:$Y$139,U$8,FALSE))</f>
        <v/>
      </c>
      <c r="V41" s="80" t="str">
        <f>IF($B41="","",VLOOKUP($B41,'Start List'!$B$15:$Y$139,V$8,FALSE))</f>
        <v/>
      </c>
      <c r="W41" s="150" t="str">
        <f>IF($B41="","",VLOOKUP($B41,'Start List'!$B$15:$Y$139,W$8,FALSE))</f>
        <v/>
      </c>
      <c r="X41" s="80" t="str">
        <f>IF($B41="","",VLOOKUP($B41,'Start List'!$B$15:$Y$139,X$8,FALSE))</f>
        <v/>
      </c>
      <c r="Y41" s="80" t="str">
        <f>IF($B41="","",VLOOKUP($B41,'Start List'!$B$15:$Y$139,Y$8,FALSE))</f>
        <v/>
      </c>
      <c r="Z41" s="217" t="str">
        <f>IF($B41="","",VLOOKUP($B41,'Start List'!$B$15:$Y$139,Z$8,FALSE))</f>
        <v/>
      </c>
      <c r="AA41" s="218" t="str">
        <f>IF($B41="","",VLOOKUP($B41,'Start List'!$B$15:$Y$139,AA$8,FALSE))</f>
        <v/>
      </c>
      <c r="AB41" s="218" t="str">
        <f>IF($B41="","",VLOOKUP($B41,'Start List'!$B$15:$Y$139,AB$8,FALSE))</f>
        <v/>
      </c>
    </row>
    <row r="42" spans="1:28" ht="12.75" customHeight="1" x14ac:dyDescent="0.2">
      <c r="A42" s="75" t="str">
        <f>'Start List'!A48</f>
        <v/>
      </c>
      <c r="B42" s="76" t="str">
        <f>IF(A42="","",LARGE('Start List'!$B$15:$B$139,A42))</f>
        <v/>
      </c>
      <c r="C42" s="76" t="str">
        <f t="shared" si="0"/>
        <v/>
      </c>
      <c r="D42" s="76" t="str">
        <f t="shared" si="1"/>
        <v/>
      </c>
      <c r="E42" s="76" t="str">
        <f t="shared" si="2"/>
        <v/>
      </c>
      <c r="F42" s="80" t="str">
        <f>IF(COUNTIF(Data!$D$2:$D$97,$C42)=0,"",VLOOKUP($C42,Data!$D$2:$H$97,F$8,FALSE))</f>
        <v/>
      </c>
      <c r="G42" s="80" t="str">
        <f>IF(COUNTIF(Data!$D$2:$D$97,$C42)=0,"",VLOOKUP($C42,Data!$D$2:$H$97,G$8,FALSE))</f>
        <v/>
      </c>
      <c r="H42" s="80" t="str">
        <f>IF(COUNTIF(Data!$D$2:$D$97,$C42)=0,"",VLOOKUP($C42,Data!$D$2:$H$97,H$8,FALSE))</f>
        <v/>
      </c>
      <c r="I42" s="80" t="str">
        <f>IF(COUNTIF(Data!$D$2:$D$97,$C42)=0,"",VLOOKUP($C42,Data!$D$2:$H$97,I$8,FALSE))</f>
        <v/>
      </c>
      <c r="J42" s="77" t="str">
        <f>IF(A42="","",VLOOKUP($B42,'Start List'!$B$15:$Y$139,J$8,FALSE))</f>
        <v/>
      </c>
      <c r="K42" s="77" t="str">
        <f>IF(B42="","",VLOOKUP($B42,'Start List'!$B$15:$Y$139,K$8,FALSE))</f>
        <v/>
      </c>
      <c r="L42" s="77" t="str">
        <f>IF(J42="","",VLOOKUP($B42,'Start List'!$B$15:$Y$139,L$8,FALSE))</f>
        <v/>
      </c>
      <c r="M42" s="79" t="str">
        <f>IF(K42="","",VLOOKUP($B42,'Start List'!$B$15:$Y$139,M$8,FALSE))</f>
        <v/>
      </c>
      <c r="N42" s="150" t="str">
        <f>IF($B42="","",VLOOKUP($B42,'Start List'!$B$15:$Y$139,N$8,FALSE))</f>
        <v/>
      </c>
      <c r="O42" s="80" t="str">
        <f>IF($B42="","",VLOOKUP($B42,'Start List'!$B$15:$Y$139,O$8,FALSE))</f>
        <v/>
      </c>
      <c r="P42" s="80" t="str">
        <f>IF($B42="","",VLOOKUP($B42,'Start List'!$B$15:$Y$139,P$8,FALSE))</f>
        <v/>
      </c>
      <c r="Q42" s="150" t="str">
        <f>IF($B42="","",VLOOKUP($B42,'Start List'!$B$15:$Y$139,Q$8,FALSE))</f>
        <v/>
      </c>
      <c r="R42" s="80" t="str">
        <f>IF($B42="","",VLOOKUP($B42,'Start List'!$B$15:$Y$139,R$8,FALSE))</f>
        <v/>
      </c>
      <c r="S42" s="150" t="str">
        <f>IF($B42="","",VLOOKUP($B42,'Start List'!$B$15:$Y$139,S$8,FALSE))</f>
        <v/>
      </c>
      <c r="T42" s="150" t="str">
        <f>IF($B42="","",VLOOKUP($B42,'Start List'!$B$15:$Y$139,T$8,FALSE))</f>
        <v/>
      </c>
      <c r="U42" s="80" t="str">
        <f>IF($B42="","",VLOOKUP($B42,'Start List'!$B$15:$Y$139,U$8,FALSE))</f>
        <v/>
      </c>
      <c r="V42" s="80" t="str">
        <f>IF($B42="","",VLOOKUP($B42,'Start List'!$B$15:$Y$139,V$8,FALSE))</f>
        <v/>
      </c>
      <c r="W42" s="150" t="str">
        <f>IF($B42="","",VLOOKUP($B42,'Start List'!$B$15:$Y$139,W$8,FALSE))</f>
        <v/>
      </c>
      <c r="X42" s="80" t="str">
        <f>IF($B42="","",VLOOKUP($B42,'Start List'!$B$15:$Y$139,X$8,FALSE))</f>
        <v/>
      </c>
      <c r="Y42" s="80" t="str">
        <f>IF($B42="","",VLOOKUP($B42,'Start List'!$B$15:$Y$139,Y$8,FALSE))</f>
        <v/>
      </c>
      <c r="Z42" s="217" t="str">
        <f>IF($B42="","",VLOOKUP($B42,'Start List'!$B$15:$Y$139,Z$8,FALSE))</f>
        <v/>
      </c>
      <c r="AA42" s="218" t="str">
        <f>IF($B42="","",VLOOKUP($B42,'Start List'!$B$15:$Y$139,AA$8,FALSE))</f>
        <v/>
      </c>
      <c r="AB42" s="218" t="str">
        <f>IF($B42="","",VLOOKUP($B42,'Start List'!$B$15:$Y$139,AB$8,FALSE))</f>
        <v/>
      </c>
    </row>
    <row r="43" spans="1:28" ht="12.75" customHeight="1" x14ac:dyDescent="0.2">
      <c r="A43" s="75" t="str">
        <f>'Start List'!A49</f>
        <v/>
      </c>
      <c r="B43" s="76" t="str">
        <f>IF(A43="","",LARGE('Start List'!$B$15:$B$139,A43))</f>
        <v/>
      </c>
      <c r="C43" s="76" t="str">
        <f t="shared" si="0"/>
        <v/>
      </c>
      <c r="D43" s="76" t="str">
        <f t="shared" si="1"/>
        <v/>
      </c>
      <c r="E43" s="76" t="str">
        <f t="shared" si="2"/>
        <v/>
      </c>
      <c r="F43" s="80" t="str">
        <f>IF(COUNTIF(Data!$D$2:$D$97,$C43)=0,"",VLOOKUP($C43,Data!$D$2:$H$97,F$8,FALSE))</f>
        <v/>
      </c>
      <c r="G43" s="80" t="str">
        <f>IF(COUNTIF(Data!$D$2:$D$97,$C43)=0,"",VLOOKUP($C43,Data!$D$2:$H$97,G$8,FALSE))</f>
        <v/>
      </c>
      <c r="H43" s="80" t="str">
        <f>IF(COUNTIF(Data!$D$2:$D$97,$C43)=0,"",VLOOKUP($C43,Data!$D$2:$H$97,H$8,FALSE))</f>
        <v/>
      </c>
      <c r="I43" s="80" t="str">
        <f>IF(COUNTIF(Data!$D$2:$D$97,$C43)=0,"",VLOOKUP($C43,Data!$D$2:$H$97,I$8,FALSE))</f>
        <v/>
      </c>
      <c r="J43" s="77" t="str">
        <f>IF(A43="","",VLOOKUP($B43,'Start List'!$B$15:$Y$139,J$8,FALSE))</f>
        <v/>
      </c>
      <c r="K43" s="77" t="str">
        <f>IF(B43="","",VLOOKUP($B43,'Start List'!$B$15:$Y$139,K$8,FALSE))</f>
        <v/>
      </c>
      <c r="L43" s="77" t="str">
        <f>IF(J43="","",VLOOKUP($B43,'Start List'!$B$15:$Y$139,L$8,FALSE))</f>
        <v/>
      </c>
      <c r="M43" s="79" t="str">
        <f>IF(K43="","",VLOOKUP($B43,'Start List'!$B$15:$Y$139,M$8,FALSE))</f>
        <v/>
      </c>
      <c r="N43" s="150" t="str">
        <f>IF($B43="","",VLOOKUP($B43,'Start List'!$B$15:$Y$139,N$8,FALSE))</f>
        <v/>
      </c>
      <c r="O43" s="80" t="str">
        <f>IF($B43="","",VLOOKUP($B43,'Start List'!$B$15:$Y$139,O$8,FALSE))</f>
        <v/>
      </c>
      <c r="P43" s="80" t="str">
        <f>IF($B43="","",VLOOKUP($B43,'Start List'!$B$15:$Y$139,P$8,FALSE))</f>
        <v/>
      </c>
      <c r="Q43" s="150" t="str">
        <f>IF($B43="","",VLOOKUP($B43,'Start List'!$B$15:$Y$139,Q$8,FALSE))</f>
        <v/>
      </c>
      <c r="R43" s="80" t="str">
        <f>IF($B43="","",VLOOKUP($B43,'Start List'!$B$15:$Y$139,R$8,FALSE))</f>
        <v/>
      </c>
      <c r="S43" s="150" t="str">
        <f>IF($B43="","",VLOOKUP($B43,'Start List'!$B$15:$Y$139,S$8,FALSE))</f>
        <v/>
      </c>
      <c r="T43" s="150" t="str">
        <f>IF($B43="","",VLOOKUP($B43,'Start List'!$B$15:$Y$139,T$8,FALSE))</f>
        <v/>
      </c>
      <c r="U43" s="80" t="str">
        <f>IF($B43="","",VLOOKUP($B43,'Start List'!$B$15:$Y$139,U$8,FALSE))</f>
        <v/>
      </c>
      <c r="V43" s="80" t="str">
        <f>IF($B43="","",VLOOKUP($B43,'Start List'!$B$15:$Y$139,V$8,FALSE))</f>
        <v/>
      </c>
      <c r="W43" s="150" t="str">
        <f>IF($B43="","",VLOOKUP($B43,'Start List'!$B$15:$Y$139,W$8,FALSE))</f>
        <v/>
      </c>
      <c r="X43" s="80" t="str">
        <f>IF($B43="","",VLOOKUP($B43,'Start List'!$B$15:$Y$139,X$8,FALSE))</f>
        <v/>
      </c>
      <c r="Y43" s="80" t="str">
        <f>IF($B43="","",VLOOKUP($B43,'Start List'!$B$15:$Y$139,Y$8,FALSE))</f>
        <v/>
      </c>
      <c r="Z43" s="217" t="str">
        <f>IF($B43="","",VLOOKUP($B43,'Start List'!$B$15:$Y$139,Z$8,FALSE))</f>
        <v/>
      </c>
      <c r="AA43" s="218" t="str">
        <f>IF($B43="","",VLOOKUP($B43,'Start List'!$B$15:$Y$139,AA$8,FALSE))</f>
        <v/>
      </c>
      <c r="AB43" s="218" t="str">
        <f>IF($B43="","",VLOOKUP($B43,'Start List'!$B$15:$Y$139,AB$8,FALSE))</f>
        <v/>
      </c>
    </row>
    <row r="44" spans="1:28" ht="12.75" customHeight="1" x14ac:dyDescent="0.2">
      <c r="A44" s="75" t="str">
        <f>'Start List'!A50</f>
        <v/>
      </c>
      <c r="B44" s="76" t="str">
        <f>IF(A44="","",LARGE('Start List'!$B$15:$B$139,A44))</f>
        <v/>
      </c>
      <c r="C44" s="76" t="str">
        <f t="shared" si="0"/>
        <v/>
      </c>
      <c r="D44" s="76" t="str">
        <f t="shared" si="1"/>
        <v/>
      </c>
      <c r="E44" s="76" t="str">
        <f t="shared" si="2"/>
        <v/>
      </c>
      <c r="F44" s="80" t="str">
        <f>IF(COUNTIF(Data!$D$2:$D$97,$C44)=0,"",VLOOKUP($C44,Data!$D$2:$H$97,F$8,FALSE))</f>
        <v/>
      </c>
      <c r="G44" s="80" t="str">
        <f>IF(COUNTIF(Data!$D$2:$D$97,$C44)=0,"",VLOOKUP($C44,Data!$D$2:$H$97,G$8,FALSE))</f>
        <v/>
      </c>
      <c r="H44" s="80" t="str">
        <f>IF(COUNTIF(Data!$D$2:$D$97,$C44)=0,"",VLOOKUP($C44,Data!$D$2:$H$97,H$8,FALSE))</f>
        <v/>
      </c>
      <c r="I44" s="80" t="str">
        <f>IF(COUNTIF(Data!$D$2:$D$97,$C44)=0,"",VLOOKUP($C44,Data!$D$2:$H$97,I$8,FALSE))</f>
        <v/>
      </c>
      <c r="J44" s="77" t="str">
        <f>IF(A44="","",VLOOKUP($B44,'Start List'!$B$15:$Y$139,J$8,FALSE))</f>
        <v/>
      </c>
      <c r="K44" s="77" t="str">
        <f>IF(B44="","",VLOOKUP($B44,'Start List'!$B$15:$Y$139,K$8,FALSE))</f>
        <v/>
      </c>
      <c r="L44" s="77" t="str">
        <f>IF(J44="","",VLOOKUP($B44,'Start List'!$B$15:$Y$139,L$8,FALSE))</f>
        <v/>
      </c>
      <c r="M44" s="79" t="str">
        <f>IF(K44="","",VLOOKUP($B44,'Start List'!$B$15:$Y$139,M$8,FALSE))</f>
        <v/>
      </c>
      <c r="N44" s="150" t="str">
        <f>IF($B44="","",VLOOKUP($B44,'Start List'!$B$15:$Y$139,N$8,FALSE))</f>
        <v/>
      </c>
      <c r="O44" s="80" t="str">
        <f>IF($B44="","",VLOOKUP($B44,'Start List'!$B$15:$Y$139,O$8,FALSE))</f>
        <v/>
      </c>
      <c r="P44" s="80" t="str">
        <f>IF($B44="","",VLOOKUP($B44,'Start List'!$B$15:$Y$139,P$8,FALSE))</f>
        <v/>
      </c>
      <c r="Q44" s="150" t="str">
        <f>IF($B44="","",VLOOKUP($B44,'Start List'!$B$15:$Y$139,Q$8,FALSE))</f>
        <v/>
      </c>
      <c r="R44" s="80" t="str">
        <f>IF($B44="","",VLOOKUP($B44,'Start List'!$B$15:$Y$139,R$8,FALSE))</f>
        <v/>
      </c>
      <c r="S44" s="150" t="str">
        <f>IF($B44="","",VLOOKUP($B44,'Start List'!$B$15:$Y$139,S$8,FALSE))</f>
        <v/>
      </c>
      <c r="T44" s="150" t="str">
        <f>IF($B44="","",VLOOKUP($B44,'Start List'!$B$15:$Y$139,T$8,FALSE))</f>
        <v/>
      </c>
      <c r="U44" s="80" t="str">
        <f>IF($B44="","",VLOOKUP($B44,'Start List'!$B$15:$Y$139,U$8,FALSE))</f>
        <v/>
      </c>
      <c r="V44" s="80" t="str">
        <f>IF($B44="","",VLOOKUP($B44,'Start List'!$B$15:$Y$139,V$8,FALSE))</f>
        <v/>
      </c>
      <c r="W44" s="150" t="str">
        <f>IF($B44="","",VLOOKUP($B44,'Start List'!$B$15:$Y$139,W$8,FALSE))</f>
        <v/>
      </c>
      <c r="X44" s="80" t="str">
        <f>IF($B44="","",VLOOKUP($B44,'Start List'!$B$15:$Y$139,X$8,FALSE))</f>
        <v/>
      </c>
      <c r="Y44" s="80" t="str">
        <f>IF($B44="","",VLOOKUP($B44,'Start List'!$B$15:$Y$139,Y$8,FALSE))</f>
        <v/>
      </c>
      <c r="Z44" s="217" t="str">
        <f>IF($B44="","",VLOOKUP($B44,'Start List'!$B$15:$Y$139,Z$8,FALSE))</f>
        <v/>
      </c>
      <c r="AA44" s="218" t="str">
        <f>IF($B44="","",VLOOKUP($B44,'Start List'!$B$15:$Y$139,AA$8,FALSE))</f>
        <v/>
      </c>
      <c r="AB44" s="218" t="str">
        <f>IF($B44="","",VLOOKUP($B44,'Start List'!$B$15:$Y$139,AB$8,FALSE))</f>
        <v/>
      </c>
    </row>
    <row r="45" spans="1:28" ht="12.75" customHeight="1" x14ac:dyDescent="0.2">
      <c r="A45" s="75" t="str">
        <f>'Start List'!A51</f>
        <v/>
      </c>
      <c r="B45" s="76" t="str">
        <f>IF(A45="","",LARGE('Start List'!$B$15:$B$139,A45))</f>
        <v/>
      </c>
      <c r="C45" s="76" t="str">
        <f t="shared" si="0"/>
        <v/>
      </c>
      <c r="D45" s="76" t="str">
        <f t="shared" si="1"/>
        <v/>
      </c>
      <c r="E45" s="76" t="str">
        <f t="shared" si="2"/>
        <v/>
      </c>
      <c r="F45" s="80" t="str">
        <f>IF(COUNTIF(Data!$D$2:$D$97,$C45)=0,"",VLOOKUP($C45,Data!$D$2:$H$97,F$8,FALSE))</f>
        <v/>
      </c>
      <c r="G45" s="80" t="str">
        <f>IF(COUNTIF(Data!$D$2:$D$97,$C45)=0,"",VLOOKUP($C45,Data!$D$2:$H$97,G$8,FALSE))</f>
        <v/>
      </c>
      <c r="H45" s="80" t="str">
        <f>IF(COUNTIF(Data!$D$2:$D$97,$C45)=0,"",VLOOKUP($C45,Data!$D$2:$H$97,H$8,FALSE))</f>
        <v/>
      </c>
      <c r="I45" s="80" t="str">
        <f>IF(COUNTIF(Data!$D$2:$D$97,$C45)=0,"",VLOOKUP($C45,Data!$D$2:$H$97,I$8,FALSE))</f>
        <v/>
      </c>
      <c r="J45" s="77" t="str">
        <f>IF(A45="","",VLOOKUP($B45,'Start List'!$B$15:$Y$139,J$8,FALSE))</f>
        <v/>
      </c>
      <c r="K45" s="77" t="str">
        <f>IF(B45="","",VLOOKUP($B45,'Start List'!$B$15:$Y$139,K$8,FALSE))</f>
        <v/>
      </c>
      <c r="L45" s="77" t="str">
        <f>IF(J45="","",VLOOKUP($B45,'Start List'!$B$15:$Y$139,L$8,FALSE))</f>
        <v/>
      </c>
      <c r="M45" s="79" t="str">
        <f>IF(K45="","",VLOOKUP($B45,'Start List'!$B$15:$Y$139,M$8,FALSE))</f>
        <v/>
      </c>
      <c r="N45" s="150" t="str">
        <f>IF($B45="","",VLOOKUP($B45,'Start List'!$B$15:$Y$139,N$8,FALSE))</f>
        <v/>
      </c>
      <c r="O45" s="80" t="str">
        <f>IF($B45="","",VLOOKUP($B45,'Start List'!$B$15:$Y$139,O$8,FALSE))</f>
        <v/>
      </c>
      <c r="P45" s="80" t="str">
        <f>IF($B45="","",VLOOKUP($B45,'Start List'!$B$15:$Y$139,P$8,FALSE))</f>
        <v/>
      </c>
      <c r="Q45" s="150" t="str">
        <f>IF($B45="","",VLOOKUP($B45,'Start List'!$B$15:$Y$139,Q$8,FALSE))</f>
        <v/>
      </c>
      <c r="R45" s="80" t="str">
        <f>IF($B45="","",VLOOKUP($B45,'Start List'!$B$15:$Y$139,R$8,FALSE))</f>
        <v/>
      </c>
      <c r="S45" s="150" t="str">
        <f>IF($B45="","",VLOOKUP($B45,'Start List'!$B$15:$Y$139,S$8,FALSE))</f>
        <v/>
      </c>
      <c r="T45" s="150" t="str">
        <f>IF($B45="","",VLOOKUP($B45,'Start List'!$B$15:$Y$139,T$8,FALSE))</f>
        <v/>
      </c>
      <c r="U45" s="80" t="str">
        <f>IF($B45="","",VLOOKUP($B45,'Start List'!$B$15:$Y$139,U$8,FALSE))</f>
        <v/>
      </c>
      <c r="V45" s="80" t="str">
        <f>IF($B45="","",VLOOKUP($B45,'Start List'!$B$15:$Y$139,V$8,FALSE))</f>
        <v/>
      </c>
      <c r="W45" s="150" t="str">
        <f>IF($B45="","",VLOOKUP($B45,'Start List'!$B$15:$Y$139,W$8,FALSE))</f>
        <v/>
      </c>
      <c r="X45" s="80" t="str">
        <f>IF($B45="","",VLOOKUP($B45,'Start List'!$B$15:$Y$139,X$8,FALSE))</f>
        <v/>
      </c>
      <c r="Y45" s="80" t="str">
        <f>IF($B45="","",VLOOKUP($B45,'Start List'!$B$15:$Y$139,Y$8,FALSE))</f>
        <v/>
      </c>
      <c r="Z45" s="217" t="str">
        <f>IF($B45="","",VLOOKUP($B45,'Start List'!$B$15:$Y$139,Z$8,FALSE))</f>
        <v/>
      </c>
      <c r="AA45" s="218" t="str">
        <f>IF($B45="","",VLOOKUP($B45,'Start List'!$B$15:$Y$139,AA$8,FALSE))</f>
        <v/>
      </c>
      <c r="AB45" s="218" t="str">
        <f>IF($B45="","",VLOOKUP($B45,'Start List'!$B$15:$Y$139,AB$8,FALSE))</f>
        <v/>
      </c>
    </row>
    <row r="46" spans="1:28" ht="12.75" customHeight="1" x14ac:dyDescent="0.2">
      <c r="A46" s="75" t="str">
        <f>'Start List'!A52</f>
        <v/>
      </c>
      <c r="B46" s="76" t="str">
        <f>IF(A46="","",LARGE('Start List'!$B$15:$B$139,A46))</f>
        <v/>
      </c>
      <c r="C46" s="76" t="str">
        <f t="shared" si="0"/>
        <v/>
      </c>
      <c r="D46" s="76" t="str">
        <f t="shared" si="1"/>
        <v/>
      </c>
      <c r="E46" s="76" t="str">
        <f t="shared" si="2"/>
        <v/>
      </c>
      <c r="F46" s="80" t="str">
        <f>IF(COUNTIF(Data!$D$2:$D$97,$C46)=0,"",VLOOKUP($C46,Data!$D$2:$H$97,F$8,FALSE))</f>
        <v/>
      </c>
      <c r="G46" s="80" t="str">
        <f>IF(COUNTIF(Data!$D$2:$D$97,$C46)=0,"",VLOOKUP($C46,Data!$D$2:$H$97,G$8,FALSE))</f>
        <v/>
      </c>
      <c r="H46" s="80" t="str">
        <f>IF(COUNTIF(Data!$D$2:$D$97,$C46)=0,"",VLOOKUP($C46,Data!$D$2:$H$97,H$8,FALSE))</f>
        <v/>
      </c>
      <c r="I46" s="80" t="str">
        <f>IF(COUNTIF(Data!$D$2:$D$97,$C46)=0,"",VLOOKUP($C46,Data!$D$2:$H$97,I$8,FALSE))</f>
        <v/>
      </c>
      <c r="J46" s="77" t="str">
        <f>IF(A46="","",VLOOKUP($B46,'Start List'!$B$15:$Y$139,J$8,FALSE))</f>
        <v/>
      </c>
      <c r="K46" s="77" t="str">
        <f>IF(B46="","",VLOOKUP($B46,'Start List'!$B$15:$Y$139,K$8,FALSE))</f>
        <v/>
      </c>
      <c r="L46" s="77" t="str">
        <f>IF(J46="","",VLOOKUP($B46,'Start List'!$B$15:$Y$139,L$8,FALSE))</f>
        <v/>
      </c>
      <c r="M46" s="79" t="str">
        <f>IF(K46="","",VLOOKUP($B46,'Start List'!$B$15:$Y$139,M$8,FALSE))</f>
        <v/>
      </c>
      <c r="N46" s="150" t="str">
        <f>IF($B46="","",VLOOKUP($B46,'Start List'!$B$15:$Y$139,N$8,FALSE))</f>
        <v/>
      </c>
      <c r="O46" s="80" t="str">
        <f>IF($B46="","",VLOOKUP($B46,'Start List'!$B$15:$Y$139,O$8,FALSE))</f>
        <v/>
      </c>
      <c r="P46" s="80" t="str">
        <f>IF($B46="","",VLOOKUP($B46,'Start List'!$B$15:$Y$139,P$8,FALSE))</f>
        <v/>
      </c>
      <c r="Q46" s="150" t="str">
        <f>IF($B46="","",VLOOKUP($B46,'Start List'!$B$15:$Y$139,Q$8,FALSE))</f>
        <v/>
      </c>
      <c r="R46" s="80" t="str">
        <f>IF($B46="","",VLOOKUP($B46,'Start List'!$B$15:$Y$139,R$8,FALSE))</f>
        <v/>
      </c>
      <c r="S46" s="150" t="str">
        <f>IF($B46="","",VLOOKUP($B46,'Start List'!$B$15:$Y$139,S$8,FALSE))</f>
        <v/>
      </c>
      <c r="T46" s="150" t="str">
        <f>IF($B46="","",VLOOKUP($B46,'Start List'!$B$15:$Y$139,T$8,FALSE))</f>
        <v/>
      </c>
      <c r="U46" s="80" t="str">
        <f>IF($B46="","",VLOOKUP($B46,'Start List'!$B$15:$Y$139,U$8,FALSE))</f>
        <v/>
      </c>
      <c r="V46" s="80" t="str">
        <f>IF($B46="","",VLOOKUP($B46,'Start List'!$B$15:$Y$139,V$8,FALSE))</f>
        <v/>
      </c>
      <c r="W46" s="150" t="str">
        <f>IF($B46="","",VLOOKUP($B46,'Start List'!$B$15:$Y$139,W$8,FALSE))</f>
        <v/>
      </c>
      <c r="X46" s="80" t="str">
        <f>IF($B46="","",VLOOKUP($B46,'Start List'!$B$15:$Y$139,X$8,FALSE))</f>
        <v/>
      </c>
      <c r="Y46" s="80" t="str">
        <f>IF($B46="","",VLOOKUP($B46,'Start List'!$B$15:$Y$139,Y$8,FALSE))</f>
        <v/>
      </c>
      <c r="Z46" s="217" t="str">
        <f>IF($B46="","",VLOOKUP($B46,'Start List'!$B$15:$Y$139,Z$8,FALSE))</f>
        <v/>
      </c>
      <c r="AA46" s="218" t="str">
        <f>IF($B46="","",VLOOKUP($B46,'Start List'!$B$15:$Y$139,AA$8,FALSE))</f>
        <v/>
      </c>
      <c r="AB46" s="218" t="str">
        <f>IF($B46="","",VLOOKUP($B46,'Start List'!$B$15:$Y$139,AB$8,FALSE))</f>
        <v/>
      </c>
    </row>
    <row r="47" spans="1:28" ht="12.75" customHeight="1" x14ac:dyDescent="0.2">
      <c r="A47" s="75" t="str">
        <f>'Start List'!A53</f>
        <v/>
      </c>
      <c r="B47" s="76" t="str">
        <f>IF(A47="","",LARGE('Start List'!$B$15:$B$139,A47))</f>
        <v/>
      </c>
      <c r="C47" s="76" t="str">
        <f t="shared" si="0"/>
        <v/>
      </c>
      <c r="D47" s="76" t="str">
        <f t="shared" si="1"/>
        <v/>
      </c>
      <c r="E47" s="76" t="str">
        <f t="shared" si="2"/>
        <v/>
      </c>
      <c r="F47" s="80" t="str">
        <f>IF(COUNTIF(Data!$D$2:$D$97,$C47)=0,"",VLOOKUP($C47,Data!$D$2:$H$97,F$8,FALSE))</f>
        <v/>
      </c>
      <c r="G47" s="80" t="str">
        <f>IF(COUNTIF(Data!$D$2:$D$97,$C47)=0,"",VLOOKUP($C47,Data!$D$2:$H$97,G$8,FALSE))</f>
        <v/>
      </c>
      <c r="H47" s="80" t="str">
        <f>IF(COUNTIF(Data!$D$2:$D$97,$C47)=0,"",VLOOKUP($C47,Data!$D$2:$H$97,H$8,FALSE))</f>
        <v/>
      </c>
      <c r="I47" s="80" t="str">
        <f>IF(COUNTIF(Data!$D$2:$D$97,$C47)=0,"",VLOOKUP($C47,Data!$D$2:$H$97,I$8,FALSE))</f>
        <v/>
      </c>
      <c r="J47" s="77" t="str">
        <f>IF(A47="","",VLOOKUP($B47,'Start List'!$B$15:$Y$139,J$8,FALSE))</f>
        <v/>
      </c>
      <c r="K47" s="77" t="str">
        <f>IF(B47="","",VLOOKUP($B47,'Start List'!$B$15:$Y$139,K$8,FALSE))</f>
        <v/>
      </c>
      <c r="L47" s="77" t="str">
        <f>IF(J47="","",VLOOKUP($B47,'Start List'!$B$15:$Y$139,L$8,FALSE))</f>
        <v/>
      </c>
      <c r="M47" s="79" t="str">
        <f>IF(K47="","",VLOOKUP($B47,'Start List'!$B$15:$Y$139,M$8,FALSE))</f>
        <v/>
      </c>
      <c r="N47" s="150" t="str">
        <f>IF($B47="","",VLOOKUP($B47,'Start List'!$B$15:$Y$139,N$8,FALSE))</f>
        <v/>
      </c>
      <c r="O47" s="80" t="str">
        <f>IF($B47="","",VLOOKUP($B47,'Start List'!$B$15:$Y$139,O$8,FALSE))</f>
        <v/>
      </c>
      <c r="P47" s="80" t="str">
        <f>IF($B47="","",VLOOKUP($B47,'Start List'!$B$15:$Y$139,P$8,FALSE))</f>
        <v/>
      </c>
      <c r="Q47" s="150" t="str">
        <f>IF($B47="","",VLOOKUP($B47,'Start List'!$B$15:$Y$139,Q$8,FALSE))</f>
        <v/>
      </c>
      <c r="R47" s="80" t="str">
        <f>IF($B47="","",VLOOKUP($B47,'Start List'!$B$15:$Y$139,R$8,FALSE))</f>
        <v/>
      </c>
      <c r="S47" s="150" t="str">
        <f>IF($B47="","",VLOOKUP($B47,'Start List'!$B$15:$Y$139,S$8,FALSE))</f>
        <v/>
      </c>
      <c r="T47" s="150" t="str">
        <f>IF($B47="","",VLOOKUP($B47,'Start List'!$B$15:$Y$139,T$8,FALSE))</f>
        <v/>
      </c>
      <c r="U47" s="80" t="str">
        <f>IF($B47="","",VLOOKUP($B47,'Start List'!$B$15:$Y$139,U$8,FALSE))</f>
        <v/>
      </c>
      <c r="V47" s="80" t="str">
        <f>IF($B47="","",VLOOKUP($B47,'Start List'!$B$15:$Y$139,V$8,FALSE))</f>
        <v/>
      </c>
      <c r="W47" s="150" t="str">
        <f>IF($B47="","",VLOOKUP($B47,'Start List'!$B$15:$Y$139,W$8,FALSE))</f>
        <v/>
      </c>
      <c r="X47" s="80" t="str">
        <f>IF($B47="","",VLOOKUP($B47,'Start List'!$B$15:$Y$139,X$8,FALSE))</f>
        <v/>
      </c>
      <c r="Y47" s="80" t="str">
        <f>IF($B47="","",VLOOKUP($B47,'Start List'!$B$15:$Y$139,Y$8,FALSE))</f>
        <v/>
      </c>
      <c r="Z47" s="217" t="str">
        <f>IF($B47="","",VLOOKUP($B47,'Start List'!$B$15:$Y$139,Z$8,FALSE))</f>
        <v/>
      </c>
      <c r="AA47" s="218" t="str">
        <f>IF($B47="","",VLOOKUP($B47,'Start List'!$B$15:$Y$139,AA$8,FALSE))</f>
        <v/>
      </c>
      <c r="AB47" s="218" t="str">
        <f>IF($B47="","",VLOOKUP($B47,'Start List'!$B$15:$Y$139,AB$8,FALSE))</f>
        <v/>
      </c>
    </row>
    <row r="48" spans="1:28" s="78" customFormat="1" ht="12.75" customHeight="1" x14ac:dyDescent="0.2">
      <c r="A48" s="75" t="str">
        <f>'Start List'!A54</f>
        <v/>
      </c>
      <c r="B48" s="76" t="str">
        <f>IF(A48="","",LARGE('Start List'!$B$15:$B$139,A48))</f>
        <v/>
      </c>
      <c r="C48" s="76" t="str">
        <f t="shared" si="0"/>
        <v/>
      </c>
      <c r="D48" s="76" t="str">
        <f t="shared" si="1"/>
        <v/>
      </c>
      <c r="E48" s="76" t="str">
        <f t="shared" si="2"/>
        <v/>
      </c>
      <c r="F48" s="80" t="str">
        <f>IF(COUNTIF(Data!$D$2:$D$97,$C48)=0,"",VLOOKUP($C48,Data!$D$2:$H$97,F$8,FALSE))</f>
        <v/>
      </c>
      <c r="G48" s="80" t="str">
        <f>IF(COUNTIF(Data!$D$2:$D$97,$C48)=0,"",VLOOKUP($C48,Data!$D$2:$H$97,G$8,FALSE))</f>
        <v/>
      </c>
      <c r="H48" s="80" t="str">
        <f>IF(COUNTIF(Data!$D$2:$D$97,$C48)=0,"",VLOOKUP($C48,Data!$D$2:$H$97,H$8,FALSE))</f>
        <v/>
      </c>
      <c r="I48" s="80" t="str">
        <f>IF(COUNTIF(Data!$D$2:$D$97,$C48)=0,"",VLOOKUP($C48,Data!$D$2:$H$97,I$8,FALSE))</f>
        <v/>
      </c>
      <c r="J48" s="77" t="str">
        <f>IF(A48="","",VLOOKUP($B48,'Start List'!$B$15:$Y$139,J$8,FALSE))</f>
        <v/>
      </c>
      <c r="K48" s="77" t="str">
        <f>IF(B48="","",VLOOKUP($B48,'Start List'!$B$15:$Y$139,K$8,FALSE))</f>
        <v/>
      </c>
      <c r="L48" s="77" t="str">
        <f>IF(J48="","",VLOOKUP($B48,'Start List'!$B$15:$Y$139,L$8,FALSE))</f>
        <v/>
      </c>
      <c r="M48" s="79" t="str">
        <f>IF(K48="","",VLOOKUP($B48,'Start List'!$B$15:$Y$139,M$8,FALSE))</f>
        <v/>
      </c>
      <c r="N48" s="150" t="str">
        <f>IF($B48="","",VLOOKUP($B48,'Start List'!$B$15:$Y$139,N$8,FALSE))</f>
        <v/>
      </c>
      <c r="O48" s="80" t="str">
        <f>IF($B48="","",VLOOKUP($B48,'Start List'!$B$15:$Y$139,O$8,FALSE))</f>
        <v/>
      </c>
      <c r="P48" s="80" t="str">
        <f>IF($B48="","",VLOOKUP($B48,'Start List'!$B$15:$Y$139,P$8,FALSE))</f>
        <v/>
      </c>
      <c r="Q48" s="150" t="str">
        <f>IF($B48="","",VLOOKUP($B48,'Start List'!$B$15:$Y$139,Q$8,FALSE))</f>
        <v/>
      </c>
      <c r="R48" s="80" t="str">
        <f>IF($B48="","",VLOOKUP($B48,'Start List'!$B$15:$Y$139,R$8,FALSE))</f>
        <v/>
      </c>
      <c r="S48" s="150" t="str">
        <f>IF($B48="","",VLOOKUP($B48,'Start List'!$B$15:$Y$139,S$8,FALSE))</f>
        <v/>
      </c>
      <c r="T48" s="150" t="str">
        <f>IF($B48="","",VLOOKUP($B48,'Start List'!$B$15:$Y$139,T$8,FALSE))</f>
        <v/>
      </c>
      <c r="U48" s="80" t="str">
        <f>IF($B48="","",VLOOKUP($B48,'Start List'!$B$15:$Y$139,U$8,FALSE))</f>
        <v/>
      </c>
      <c r="V48" s="80" t="str">
        <f>IF($B48="","",VLOOKUP($B48,'Start List'!$B$15:$Y$139,V$8,FALSE))</f>
        <v/>
      </c>
      <c r="W48" s="150" t="str">
        <f>IF($B48="","",VLOOKUP($B48,'Start List'!$B$15:$Y$139,W$8,FALSE))</f>
        <v/>
      </c>
      <c r="X48" s="80" t="str">
        <f>IF($B48="","",VLOOKUP($B48,'Start List'!$B$15:$Y$139,X$8,FALSE))</f>
        <v/>
      </c>
      <c r="Y48" s="80" t="str">
        <f>IF($B48="","",VLOOKUP($B48,'Start List'!$B$15:$Y$139,Y$8,FALSE))</f>
        <v/>
      </c>
      <c r="Z48" s="217" t="str">
        <f>IF($B48="","",VLOOKUP($B48,'Start List'!$B$15:$Y$139,Z$8,FALSE))</f>
        <v/>
      </c>
      <c r="AA48" s="218" t="str">
        <f>IF($B48="","",VLOOKUP($B48,'Start List'!$B$15:$Y$139,AA$8,FALSE))</f>
        <v/>
      </c>
      <c r="AB48" s="218" t="str">
        <f>IF($B48="","",VLOOKUP($B48,'Start List'!$B$15:$Y$139,AB$8,FALSE))</f>
        <v/>
      </c>
    </row>
    <row r="49" spans="1:28" ht="12.75" customHeight="1" x14ac:dyDescent="0.2">
      <c r="A49" s="75" t="str">
        <f>'Start List'!A55</f>
        <v/>
      </c>
      <c r="B49" s="76" t="str">
        <f>IF(A49="","",LARGE('Start List'!$B$15:$B$139,A49))</f>
        <v/>
      </c>
      <c r="C49" s="76" t="str">
        <f t="shared" si="0"/>
        <v/>
      </c>
      <c r="D49" s="76" t="str">
        <f t="shared" si="1"/>
        <v/>
      </c>
      <c r="E49" s="76" t="str">
        <f t="shared" si="2"/>
        <v/>
      </c>
      <c r="F49" s="80" t="str">
        <f>IF(COUNTIF(Data!$D$2:$D$97,$C49)=0,"",VLOOKUP($C49,Data!$D$2:$H$97,F$8,FALSE))</f>
        <v/>
      </c>
      <c r="G49" s="80" t="str">
        <f>IF(COUNTIF(Data!$D$2:$D$97,$C49)=0,"",VLOOKUP($C49,Data!$D$2:$H$97,G$8,FALSE))</f>
        <v/>
      </c>
      <c r="H49" s="80" t="str">
        <f>IF(COUNTIF(Data!$D$2:$D$97,$C49)=0,"",VLOOKUP($C49,Data!$D$2:$H$97,H$8,FALSE))</f>
        <v/>
      </c>
      <c r="I49" s="80" t="str">
        <f>IF(COUNTIF(Data!$D$2:$D$97,$C49)=0,"",VLOOKUP($C49,Data!$D$2:$H$97,I$8,FALSE))</f>
        <v/>
      </c>
      <c r="J49" s="77" t="str">
        <f>IF(A49="","",VLOOKUP($B49,'Start List'!$B$15:$Y$139,J$8,FALSE))</f>
        <v/>
      </c>
      <c r="K49" s="77" t="str">
        <f>IF(B49="","",VLOOKUP($B49,'Start List'!$B$15:$Y$139,K$8,FALSE))</f>
        <v/>
      </c>
      <c r="L49" s="77" t="str">
        <f>IF(J49="","",VLOOKUP($B49,'Start List'!$B$15:$Y$139,L$8,FALSE))</f>
        <v/>
      </c>
      <c r="M49" s="79" t="str">
        <f>IF(K49="","",VLOOKUP($B49,'Start List'!$B$15:$Y$139,M$8,FALSE))</f>
        <v/>
      </c>
      <c r="N49" s="150" t="str">
        <f>IF($B49="","",VLOOKUP($B49,'Start List'!$B$15:$Y$139,N$8,FALSE))</f>
        <v/>
      </c>
      <c r="O49" s="80" t="str">
        <f>IF($B49="","",VLOOKUP($B49,'Start List'!$B$15:$Y$139,O$8,FALSE))</f>
        <v/>
      </c>
      <c r="P49" s="80" t="str">
        <f>IF($B49="","",VLOOKUP($B49,'Start List'!$B$15:$Y$139,P$8,FALSE))</f>
        <v/>
      </c>
      <c r="Q49" s="150" t="str">
        <f>IF($B49="","",VLOOKUP($B49,'Start List'!$B$15:$Y$139,Q$8,FALSE))</f>
        <v/>
      </c>
      <c r="R49" s="80" t="str">
        <f>IF($B49="","",VLOOKUP($B49,'Start List'!$B$15:$Y$139,R$8,FALSE))</f>
        <v/>
      </c>
      <c r="S49" s="150" t="str">
        <f>IF($B49="","",VLOOKUP($B49,'Start List'!$B$15:$Y$139,S$8,FALSE))</f>
        <v/>
      </c>
      <c r="T49" s="150" t="str">
        <f>IF($B49="","",VLOOKUP($B49,'Start List'!$B$15:$Y$139,T$8,FALSE))</f>
        <v/>
      </c>
      <c r="U49" s="80" t="str">
        <f>IF($B49="","",VLOOKUP($B49,'Start List'!$B$15:$Y$139,U$8,FALSE))</f>
        <v/>
      </c>
      <c r="V49" s="80" t="str">
        <f>IF($B49="","",VLOOKUP($B49,'Start List'!$B$15:$Y$139,V$8,FALSE))</f>
        <v/>
      </c>
      <c r="W49" s="150" t="str">
        <f>IF($B49="","",VLOOKUP($B49,'Start List'!$B$15:$Y$139,W$8,FALSE))</f>
        <v/>
      </c>
      <c r="X49" s="80" t="str">
        <f>IF($B49="","",VLOOKUP($B49,'Start List'!$B$15:$Y$139,X$8,FALSE))</f>
        <v/>
      </c>
      <c r="Y49" s="80" t="str">
        <f>IF($B49="","",VLOOKUP($B49,'Start List'!$B$15:$Y$139,Y$8,FALSE))</f>
        <v/>
      </c>
      <c r="Z49" s="217" t="str">
        <f>IF($B49="","",VLOOKUP($B49,'Start List'!$B$15:$Y$139,Z$8,FALSE))</f>
        <v/>
      </c>
      <c r="AA49" s="218" t="str">
        <f>IF($B49="","",VLOOKUP($B49,'Start List'!$B$15:$Y$139,AA$8,FALSE))</f>
        <v/>
      </c>
      <c r="AB49" s="218" t="str">
        <f>IF($B49="","",VLOOKUP($B49,'Start List'!$B$15:$Y$139,AB$8,FALSE))</f>
        <v/>
      </c>
    </row>
    <row r="50" spans="1:28" ht="12.75" customHeight="1" x14ac:dyDescent="0.2">
      <c r="A50" s="75" t="str">
        <f>'Start List'!A56</f>
        <v/>
      </c>
      <c r="B50" s="76" t="str">
        <f>IF(A50="","",LARGE('Start List'!$B$15:$B$139,A50))</f>
        <v/>
      </c>
      <c r="C50" s="76" t="str">
        <f t="shared" si="0"/>
        <v/>
      </c>
      <c r="D50" s="76" t="str">
        <f t="shared" si="1"/>
        <v/>
      </c>
      <c r="E50" s="76" t="str">
        <f t="shared" si="2"/>
        <v/>
      </c>
      <c r="F50" s="80" t="str">
        <f>IF(COUNTIF(Data!$D$2:$D$97,$C50)=0,"",VLOOKUP($C50,Data!$D$2:$H$97,F$8,FALSE))</f>
        <v/>
      </c>
      <c r="G50" s="80" t="str">
        <f>IF(COUNTIF(Data!$D$2:$D$97,$C50)=0,"",VLOOKUP($C50,Data!$D$2:$H$97,G$8,FALSE))</f>
        <v/>
      </c>
      <c r="H50" s="80" t="str">
        <f>IF(COUNTIF(Data!$D$2:$D$97,$C50)=0,"",VLOOKUP($C50,Data!$D$2:$H$97,H$8,FALSE))</f>
        <v/>
      </c>
      <c r="I50" s="80" t="str">
        <f>IF(COUNTIF(Data!$D$2:$D$97,$C50)=0,"",VLOOKUP($C50,Data!$D$2:$H$97,I$8,FALSE))</f>
        <v/>
      </c>
      <c r="J50" s="77" t="str">
        <f>IF(A50="","",VLOOKUP($B50,'Start List'!$B$15:$Y$139,J$8,FALSE))</f>
        <v/>
      </c>
      <c r="K50" s="77" t="str">
        <f>IF(B50="","",VLOOKUP($B50,'Start List'!$B$15:$Y$139,K$8,FALSE))</f>
        <v/>
      </c>
      <c r="L50" s="77" t="str">
        <f>IF(J50="","",VLOOKUP($B50,'Start List'!$B$15:$Y$139,L$8,FALSE))</f>
        <v/>
      </c>
      <c r="M50" s="79" t="str">
        <f>IF(K50="","",VLOOKUP($B50,'Start List'!$B$15:$Y$139,M$8,FALSE))</f>
        <v/>
      </c>
      <c r="N50" s="150" t="str">
        <f>IF($B50="","",VLOOKUP($B50,'Start List'!$B$15:$Y$139,N$8,FALSE))</f>
        <v/>
      </c>
      <c r="O50" s="80" t="str">
        <f>IF($B50="","",VLOOKUP($B50,'Start List'!$B$15:$Y$139,O$8,FALSE))</f>
        <v/>
      </c>
      <c r="P50" s="80" t="str">
        <f>IF($B50="","",VLOOKUP($B50,'Start List'!$B$15:$Y$139,P$8,FALSE))</f>
        <v/>
      </c>
      <c r="Q50" s="150" t="str">
        <f>IF($B50="","",VLOOKUP($B50,'Start List'!$B$15:$Y$139,Q$8,FALSE))</f>
        <v/>
      </c>
      <c r="R50" s="80" t="str">
        <f>IF($B50="","",VLOOKUP($B50,'Start List'!$B$15:$Y$139,R$8,FALSE))</f>
        <v/>
      </c>
      <c r="S50" s="150" t="str">
        <f>IF($B50="","",VLOOKUP($B50,'Start List'!$B$15:$Y$139,S$8,FALSE))</f>
        <v/>
      </c>
      <c r="T50" s="150" t="str">
        <f>IF($B50="","",VLOOKUP($B50,'Start List'!$B$15:$Y$139,T$8,FALSE))</f>
        <v/>
      </c>
      <c r="U50" s="80" t="str">
        <f>IF($B50="","",VLOOKUP($B50,'Start List'!$B$15:$Y$139,U$8,FALSE))</f>
        <v/>
      </c>
      <c r="V50" s="80" t="str">
        <f>IF($B50="","",VLOOKUP($B50,'Start List'!$B$15:$Y$139,V$8,FALSE))</f>
        <v/>
      </c>
      <c r="W50" s="150" t="str">
        <f>IF($B50="","",VLOOKUP($B50,'Start List'!$B$15:$Y$139,W$8,FALSE))</f>
        <v/>
      </c>
      <c r="X50" s="80" t="str">
        <f>IF($B50="","",VLOOKUP($B50,'Start List'!$B$15:$Y$139,X$8,FALSE))</f>
        <v/>
      </c>
      <c r="Y50" s="80" t="str">
        <f>IF($B50="","",VLOOKUP($B50,'Start List'!$B$15:$Y$139,Y$8,FALSE))</f>
        <v/>
      </c>
      <c r="Z50" s="217" t="str">
        <f>IF($B50="","",VLOOKUP($B50,'Start List'!$B$15:$Y$139,Z$8,FALSE))</f>
        <v/>
      </c>
      <c r="AA50" s="218" t="str">
        <f>IF($B50="","",VLOOKUP($B50,'Start List'!$B$15:$Y$139,AA$8,FALSE))</f>
        <v/>
      </c>
      <c r="AB50" s="218" t="str">
        <f>IF($B50="","",VLOOKUP($B50,'Start List'!$B$15:$Y$139,AB$8,FALSE))</f>
        <v/>
      </c>
    </row>
    <row r="51" spans="1:28" ht="12.75" customHeight="1" x14ac:dyDescent="0.2">
      <c r="A51" s="75" t="str">
        <f>'Start List'!A57</f>
        <v/>
      </c>
      <c r="B51" s="76" t="str">
        <f>IF(A51="","",LARGE('Start List'!$B$15:$B$139,A51))</f>
        <v/>
      </c>
      <c r="C51" s="76" t="str">
        <f t="shared" si="0"/>
        <v/>
      </c>
      <c r="D51" s="76" t="str">
        <f t="shared" si="1"/>
        <v/>
      </c>
      <c r="E51" s="76" t="str">
        <f t="shared" si="2"/>
        <v/>
      </c>
      <c r="F51" s="80" t="str">
        <f>IF(COUNTIF(Data!$D$2:$D$97,$C51)=0,"",VLOOKUP($C51,Data!$D$2:$H$97,F$8,FALSE))</f>
        <v/>
      </c>
      <c r="G51" s="80" t="str">
        <f>IF(COUNTIF(Data!$D$2:$D$97,$C51)=0,"",VLOOKUP($C51,Data!$D$2:$H$97,G$8,FALSE))</f>
        <v/>
      </c>
      <c r="H51" s="80" t="str">
        <f>IF(COUNTIF(Data!$D$2:$D$97,$C51)=0,"",VLOOKUP($C51,Data!$D$2:$H$97,H$8,FALSE))</f>
        <v/>
      </c>
      <c r="I51" s="80" t="str">
        <f>IF(COUNTIF(Data!$D$2:$D$97,$C51)=0,"",VLOOKUP($C51,Data!$D$2:$H$97,I$8,FALSE))</f>
        <v/>
      </c>
      <c r="J51" s="77" t="str">
        <f>IF(A51="","",VLOOKUP($B51,'Start List'!$B$15:$Y$139,J$8,FALSE))</f>
        <v/>
      </c>
      <c r="K51" s="77" t="str">
        <f>IF(B51="","",VLOOKUP($B51,'Start List'!$B$15:$Y$139,K$8,FALSE))</f>
        <v/>
      </c>
      <c r="L51" s="77" t="str">
        <f>IF(J51="","",VLOOKUP($B51,'Start List'!$B$15:$Y$139,L$8,FALSE))</f>
        <v/>
      </c>
      <c r="M51" s="79" t="str">
        <f>IF(K51="","",VLOOKUP($B51,'Start List'!$B$15:$Y$139,M$8,FALSE))</f>
        <v/>
      </c>
      <c r="N51" s="150" t="str">
        <f>IF($B51="","",VLOOKUP($B51,'Start List'!$B$15:$Y$139,N$8,FALSE))</f>
        <v/>
      </c>
      <c r="O51" s="80" t="str">
        <f>IF($B51="","",VLOOKUP($B51,'Start List'!$B$15:$Y$139,O$8,FALSE))</f>
        <v/>
      </c>
      <c r="P51" s="80" t="str">
        <f>IF($B51="","",VLOOKUP($B51,'Start List'!$B$15:$Y$139,P$8,FALSE))</f>
        <v/>
      </c>
      <c r="Q51" s="150" t="str">
        <f>IF($B51="","",VLOOKUP($B51,'Start List'!$B$15:$Y$139,Q$8,FALSE))</f>
        <v/>
      </c>
      <c r="R51" s="80" t="str">
        <f>IF($B51="","",VLOOKUP($B51,'Start List'!$B$15:$Y$139,R$8,FALSE))</f>
        <v/>
      </c>
      <c r="S51" s="150" t="str">
        <f>IF($B51="","",VLOOKUP($B51,'Start List'!$B$15:$Y$139,S$8,FALSE))</f>
        <v/>
      </c>
      <c r="T51" s="150" t="str">
        <f>IF($B51="","",VLOOKUP($B51,'Start List'!$B$15:$Y$139,T$8,FALSE))</f>
        <v/>
      </c>
      <c r="U51" s="80" t="str">
        <f>IF($B51="","",VLOOKUP($B51,'Start List'!$B$15:$Y$139,U$8,FALSE))</f>
        <v/>
      </c>
      <c r="V51" s="80" t="str">
        <f>IF($B51="","",VLOOKUP($B51,'Start List'!$B$15:$Y$139,V$8,FALSE))</f>
        <v/>
      </c>
      <c r="W51" s="150" t="str">
        <f>IF($B51="","",VLOOKUP($B51,'Start List'!$B$15:$Y$139,W$8,FALSE))</f>
        <v/>
      </c>
      <c r="X51" s="80" t="str">
        <f>IF($B51="","",VLOOKUP($B51,'Start List'!$B$15:$Y$139,X$8,FALSE))</f>
        <v/>
      </c>
      <c r="Y51" s="80" t="str">
        <f>IF($B51="","",VLOOKUP($B51,'Start List'!$B$15:$Y$139,Y$8,FALSE))</f>
        <v/>
      </c>
      <c r="Z51" s="217" t="str">
        <f>IF($B51="","",VLOOKUP($B51,'Start List'!$B$15:$Y$139,Z$8,FALSE))</f>
        <v/>
      </c>
      <c r="AA51" s="218" t="str">
        <f>IF($B51="","",VLOOKUP($B51,'Start List'!$B$15:$Y$139,AA$8,FALSE))</f>
        <v/>
      </c>
      <c r="AB51" s="218" t="str">
        <f>IF($B51="","",VLOOKUP($B51,'Start List'!$B$15:$Y$139,AB$8,FALSE))</f>
        <v/>
      </c>
    </row>
    <row r="52" spans="1:28" ht="12.75" customHeight="1" x14ac:dyDescent="0.2">
      <c r="A52" s="75" t="str">
        <f>'Start List'!A58</f>
        <v/>
      </c>
      <c r="B52" s="76" t="str">
        <f>IF(A52="","",LARGE('Start List'!$B$15:$B$139,A52))</f>
        <v/>
      </c>
      <c r="C52" s="76" t="str">
        <f t="shared" si="0"/>
        <v/>
      </c>
      <c r="D52" s="76" t="str">
        <f t="shared" si="1"/>
        <v/>
      </c>
      <c r="E52" s="76" t="str">
        <f t="shared" si="2"/>
        <v/>
      </c>
      <c r="F52" s="80" t="str">
        <f>IF(COUNTIF(Data!$D$2:$D$97,$C52)=0,"",VLOOKUP($C52,Data!$D$2:$H$97,F$8,FALSE))</f>
        <v/>
      </c>
      <c r="G52" s="80" t="str">
        <f>IF(COUNTIF(Data!$D$2:$D$97,$C52)=0,"",VLOOKUP($C52,Data!$D$2:$H$97,G$8,FALSE))</f>
        <v/>
      </c>
      <c r="H52" s="80" t="str">
        <f>IF(COUNTIF(Data!$D$2:$D$97,$C52)=0,"",VLOOKUP($C52,Data!$D$2:$H$97,H$8,FALSE))</f>
        <v/>
      </c>
      <c r="I52" s="80" t="str">
        <f>IF(COUNTIF(Data!$D$2:$D$97,$C52)=0,"",VLOOKUP($C52,Data!$D$2:$H$97,I$8,FALSE))</f>
        <v/>
      </c>
      <c r="J52" s="77" t="str">
        <f>IF(A52="","",VLOOKUP($B52,'Start List'!$B$15:$Y$139,J$8,FALSE))</f>
        <v/>
      </c>
      <c r="K52" s="77" t="str">
        <f>IF(B52="","",VLOOKUP($B52,'Start List'!$B$15:$Y$139,K$8,FALSE))</f>
        <v/>
      </c>
      <c r="L52" s="77" t="str">
        <f>IF(J52="","",VLOOKUP($B52,'Start List'!$B$15:$Y$139,L$8,FALSE))</f>
        <v/>
      </c>
      <c r="M52" s="79" t="str">
        <f>IF(K52="","",VLOOKUP($B52,'Start List'!$B$15:$Y$139,M$8,FALSE))</f>
        <v/>
      </c>
      <c r="N52" s="150" t="str">
        <f>IF($B52="","",VLOOKUP($B52,'Start List'!$B$15:$Y$139,N$8,FALSE))</f>
        <v/>
      </c>
      <c r="O52" s="80" t="str">
        <f>IF($B52="","",VLOOKUP($B52,'Start List'!$B$15:$Y$139,O$8,FALSE))</f>
        <v/>
      </c>
      <c r="P52" s="80" t="str">
        <f>IF($B52="","",VLOOKUP($B52,'Start List'!$B$15:$Y$139,P$8,FALSE))</f>
        <v/>
      </c>
      <c r="Q52" s="150" t="str">
        <f>IF($B52="","",VLOOKUP($B52,'Start List'!$B$15:$Y$139,Q$8,FALSE))</f>
        <v/>
      </c>
      <c r="R52" s="80" t="str">
        <f>IF($B52="","",VLOOKUP($B52,'Start List'!$B$15:$Y$139,R$8,FALSE))</f>
        <v/>
      </c>
      <c r="S52" s="150" t="str">
        <f>IF($B52="","",VLOOKUP($B52,'Start List'!$B$15:$Y$139,S$8,FALSE))</f>
        <v/>
      </c>
      <c r="T52" s="150" t="str">
        <f>IF($B52="","",VLOOKUP($B52,'Start List'!$B$15:$Y$139,T$8,FALSE))</f>
        <v/>
      </c>
      <c r="U52" s="80" t="str">
        <f>IF($B52="","",VLOOKUP($B52,'Start List'!$B$15:$Y$139,U$8,FALSE))</f>
        <v/>
      </c>
      <c r="V52" s="80" t="str">
        <f>IF($B52="","",VLOOKUP($B52,'Start List'!$B$15:$Y$139,V$8,FALSE))</f>
        <v/>
      </c>
      <c r="W52" s="150" t="str">
        <f>IF($B52="","",VLOOKUP($B52,'Start List'!$B$15:$Y$139,W$8,FALSE))</f>
        <v/>
      </c>
      <c r="X52" s="80" t="str">
        <f>IF($B52="","",VLOOKUP($B52,'Start List'!$B$15:$Y$139,X$8,FALSE))</f>
        <v/>
      </c>
      <c r="Y52" s="80" t="str">
        <f>IF($B52="","",VLOOKUP($B52,'Start List'!$B$15:$Y$139,Y$8,FALSE))</f>
        <v/>
      </c>
      <c r="Z52" s="217" t="str">
        <f>IF($B52="","",VLOOKUP($B52,'Start List'!$B$15:$Y$139,Z$8,FALSE))</f>
        <v/>
      </c>
      <c r="AA52" s="218" t="str">
        <f>IF($B52="","",VLOOKUP($B52,'Start List'!$B$15:$Y$139,AA$8,FALSE))</f>
        <v/>
      </c>
      <c r="AB52" s="218" t="str">
        <f>IF($B52="","",VLOOKUP($B52,'Start List'!$B$15:$Y$139,AB$8,FALSE))</f>
        <v/>
      </c>
    </row>
    <row r="53" spans="1:28" ht="12.75" customHeight="1" x14ac:dyDescent="0.2">
      <c r="A53" s="75" t="str">
        <f>'Start List'!A59</f>
        <v/>
      </c>
      <c r="B53" s="76" t="str">
        <f>IF(A53="","",LARGE('Start List'!$B$15:$B$139,A53))</f>
        <v/>
      </c>
      <c r="C53" s="76" t="str">
        <f t="shared" si="0"/>
        <v/>
      </c>
      <c r="D53" s="76" t="str">
        <f t="shared" si="1"/>
        <v/>
      </c>
      <c r="E53" s="76" t="str">
        <f t="shared" si="2"/>
        <v/>
      </c>
      <c r="F53" s="80" t="str">
        <f>IF(COUNTIF(Data!$D$2:$D$97,$C53)=0,"",VLOOKUP($C53,Data!$D$2:$H$97,F$8,FALSE))</f>
        <v/>
      </c>
      <c r="G53" s="80" t="str">
        <f>IF(COUNTIF(Data!$D$2:$D$97,$C53)=0,"",VLOOKUP($C53,Data!$D$2:$H$97,G$8,FALSE))</f>
        <v/>
      </c>
      <c r="H53" s="80" t="str">
        <f>IF(COUNTIF(Data!$D$2:$D$97,$C53)=0,"",VLOOKUP($C53,Data!$D$2:$H$97,H$8,FALSE))</f>
        <v/>
      </c>
      <c r="I53" s="80" t="str">
        <f>IF(COUNTIF(Data!$D$2:$D$97,$C53)=0,"",VLOOKUP($C53,Data!$D$2:$H$97,I$8,FALSE))</f>
        <v/>
      </c>
      <c r="J53" s="77" t="str">
        <f>IF(A53="","",VLOOKUP($B53,'Start List'!$B$15:$Y$139,J$8,FALSE))</f>
        <v/>
      </c>
      <c r="K53" s="77" t="str">
        <f>IF(B53="","",VLOOKUP($B53,'Start List'!$B$15:$Y$139,K$8,FALSE))</f>
        <v/>
      </c>
      <c r="L53" s="77" t="str">
        <f>IF(J53="","",VLOOKUP($B53,'Start List'!$B$15:$Y$139,L$8,FALSE))</f>
        <v/>
      </c>
      <c r="M53" s="79" t="str">
        <f>IF(K53="","",VLOOKUP($B53,'Start List'!$B$15:$Y$139,M$8,FALSE))</f>
        <v/>
      </c>
      <c r="N53" s="150" t="str">
        <f>IF($B53="","",VLOOKUP($B53,'Start List'!$B$15:$Y$139,N$8,FALSE))</f>
        <v/>
      </c>
      <c r="O53" s="80" t="str">
        <f>IF($B53="","",VLOOKUP($B53,'Start List'!$B$15:$Y$139,O$8,FALSE))</f>
        <v/>
      </c>
      <c r="P53" s="80" t="str">
        <f>IF($B53="","",VLOOKUP($B53,'Start List'!$B$15:$Y$139,P$8,FALSE))</f>
        <v/>
      </c>
      <c r="Q53" s="150" t="str">
        <f>IF($B53="","",VLOOKUP($B53,'Start List'!$B$15:$Y$139,Q$8,FALSE))</f>
        <v/>
      </c>
      <c r="R53" s="80" t="str">
        <f>IF($B53="","",VLOOKUP($B53,'Start List'!$B$15:$Y$139,R$8,FALSE))</f>
        <v/>
      </c>
      <c r="S53" s="150" t="str">
        <f>IF($B53="","",VLOOKUP($B53,'Start List'!$B$15:$Y$139,S$8,FALSE))</f>
        <v/>
      </c>
      <c r="T53" s="150" t="str">
        <f>IF($B53="","",VLOOKUP($B53,'Start List'!$B$15:$Y$139,T$8,FALSE))</f>
        <v/>
      </c>
      <c r="U53" s="80" t="str">
        <f>IF($B53="","",VLOOKUP($B53,'Start List'!$B$15:$Y$139,U$8,FALSE))</f>
        <v/>
      </c>
      <c r="V53" s="80" t="str">
        <f>IF($B53="","",VLOOKUP($B53,'Start List'!$B$15:$Y$139,V$8,FALSE))</f>
        <v/>
      </c>
      <c r="W53" s="150" t="str">
        <f>IF($B53="","",VLOOKUP($B53,'Start List'!$B$15:$Y$139,W$8,FALSE))</f>
        <v/>
      </c>
      <c r="X53" s="80" t="str">
        <f>IF($B53="","",VLOOKUP($B53,'Start List'!$B$15:$Y$139,X$8,FALSE))</f>
        <v/>
      </c>
      <c r="Y53" s="80" t="str">
        <f>IF($B53="","",VLOOKUP($B53,'Start List'!$B$15:$Y$139,Y$8,FALSE))</f>
        <v/>
      </c>
      <c r="Z53" s="217" t="str">
        <f>IF($B53="","",VLOOKUP($B53,'Start List'!$B$15:$Y$139,Z$8,FALSE))</f>
        <v/>
      </c>
      <c r="AA53" s="218" t="str">
        <f>IF($B53="","",VLOOKUP($B53,'Start List'!$B$15:$Y$139,AA$8,FALSE))</f>
        <v/>
      </c>
      <c r="AB53" s="218" t="str">
        <f>IF($B53="","",VLOOKUP($B53,'Start List'!$B$15:$Y$139,AB$8,FALSE))</f>
        <v/>
      </c>
    </row>
    <row r="54" spans="1:28" ht="12.75" customHeight="1" x14ac:dyDescent="0.2">
      <c r="A54" s="75" t="str">
        <f>'Start List'!A60</f>
        <v/>
      </c>
      <c r="B54" s="76" t="str">
        <f>IF(A54="","",LARGE('Start List'!$B$15:$B$139,A54))</f>
        <v/>
      </c>
      <c r="C54" s="76" t="str">
        <f t="shared" si="0"/>
        <v/>
      </c>
      <c r="D54" s="76" t="str">
        <f t="shared" si="1"/>
        <v/>
      </c>
      <c r="E54" s="76" t="str">
        <f t="shared" si="2"/>
        <v/>
      </c>
      <c r="F54" s="80" t="str">
        <f>IF(COUNTIF(Data!$D$2:$D$97,$C54)=0,"",VLOOKUP($C54,Data!$D$2:$H$97,F$8,FALSE))</f>
        <v/>
      </c>
      <c r="G54" s="80" t="str">
        <f>IF(COUNTIF(Data!$D$2:$D$97,$C54)=0,"",VLOOKUP($C54,Data!$D$2:$H$97,G$8,FALSE))</f>
        <v/>
      </c>
      <c r="H54" s="80" t="str">
        <f>IF(COUNTIF(Data!$D$2:$D$97,$C54)=0,"",VLOOKUP($C54,Data!$D$2:$H$97,H$8,FALSE))</f>
        <v/>
      </c>
      <c r="I54" s="80" t="str">
        <f>IF(COUNTIF(Data!$D$2:$D$97,$C54)=0,"",VLOOKUP($C54,Data!$D$2:$H$97,I$8,FALSE))</f>
        <v/>
      </c>
      <c r="J54" s="77" t="str">
        <f>IF(A54="","",VLOOKUP($B54,'Start List'!$B$15:$Y$139,J$8,FALSE))</f>
        <v/>
      </c>
      <c r="K54" s="77" t="str">
        <f>IF(B54="","",VLOOKUP($B54,'Start List'!$B$15:$Y$139,K$8,FALSE))</f>
        <v/>
      </c>
      <c r="L54" s="77" t="str">
        <f>IF(J54="","",VLOOKUP($B54,'Start List'!$B$15:$Y$139,L$8,FALSE))</f>
        <v/>
      </c>
      <c r="M54" s="79" t="str">
        <f>IF(K54="","",VLOOKUP($B54,'Start List'!$B$15:$Y$139,M$8,FALSE))</f>
        <v/>
      </c>
      <c r="N54" s="150" t="str">
        <f>IF($B54="","",VLOOKUP($B54,'Start List'!$B$15:$Y$139,N$8,FALSE))</f>
        <v/>
      </c>
      <c r="O54" s="80" t="str">
        <f>IF($B54="","",VLOOKUP($B54,'Start List'!$B$15:$Y$139,O$8,FALSE))</f>
        <v/>
      </c>
      <c r="P54" s="80" t="str">
        <f>IF($B54="","",VLOOKUP($B54,'Start List'!$B$15:$Y$139,P$8,FALSE))</f>
        <v/>
      </c>
      <c r="Q54" s="150" t="str">
        <f>IF($B54="","",VLOOKUP($B54,'Start List'!$B$15:$Y$139,Q$8,FALSE))</f>
        <v/>
      </c>
      <c r="R54" s="80" t="str">
        <f>IF($B54="","",VLOOKUP($B54,'Start List'!$B$15:$Y$139,R$8,FALSE))</f>
        <v/>
      </c>
      <c r="S54" s="150" t="str">
        <f>IF($B54="","",VLOOKUP($B54,'Start List'!$B$15:$Y$139,S$8,FALSE))</f>
        <v/>
      </c>
      <c r="T54" s="150" t="str">
        <f>IF($B54="","",VLOOKUP($B54,'Start List'!$B$15:$Y$139,T$8,FALSE))</f>
        <v/>
      </c>
      <c r="U54" s="80" t="str">
        <f>IF($B54="","",VLOOKUP($B54,'Start List'!$B$15:$Y$139,U$8,FALSE))</f>
        <v/>
      </c>
      <c r="V54" s="80" t="str">
        <f>IF($B54="","",VLOOKUP($B54,'Start List'!$B$15:$Y$139,V$8,FALSE))</f>
        <v/>
      </c>
      <c r="W54" s="150" t="str">
        <f>IF($B54="","",VLOOKUP($B54,'Start List'!$B$15:$Y$139,W$8,FALSE))</f>
        <v/>
      </c>
      <c r="X54" s="80" t="str">
        <f>IF($B54="","",VLOOKUP($B54,'Start List'!$B$15:$Y$139,X$8,FALSE))</f>
        <v/>
      </c>
      <c r="Y54" s="80" t="str">
        <f>IF($B54="","",VLOOKUP($B54,'Start List'!$B$15:$Y$139,Y$8,FALSE))</f>
        <v/>
      </c>
      <c r="Z54" s="217" t="str">
        <f>IF($B54="","",VLOOKUP($B54,'Start List'!$B$15:$Y$139,Z$8,FALSE))</f>
        <v/>
      </c>
      <c r="AA54" s="218" t="str">
        <f>IF($B54="","",VLOOKUP($B54,'Start List'!$B$15:$Y$139,AA$8,FALSE))</f>
        <v/>
      </c>
      <c r="AB54" s="218" t="str">
        <f>IF($B54="","",VLOOKUP($B54,'Start List'!$B$15:$Y$139,AB$8,FALSE))</f>
        <v/>
      </c>
    </row>
    <row r="55" spans="1:28" ht="12.75" customHeight="1" x14ac:dyDescent="0.2">
      <c r="A55" s="75" t="str">
        <f>'Start List'!A61</f>
        <v/>
      </c>
      <c r="B55" s="76" t="str">
        <f>IF(A55="","",LARGE('Start List'!$B$15:$B$139,A55))</f>
        <v/>
      </c>
      <c r="C55" s="76" t="str">
        <f t="shared" si="0"/>
        <v/>
      </c>
      <c r="D55" s="76" t="str">
        <f t="shared" si="1"/>
        <v/>
      </c>
      <c r="E55" s="76" t="str">
        <f t="shared" si="2"/>
        <v/>
      </c>
      <c r="F55" s="80" t="str">
        <f>IF(COUNTIF(Data!$D$2:$D$97,$C55)=0,"",VLOOKUP($C55,Data!$D$2:$H$97,F$8,FALSE))</f>
        <v/>
      </c>
      <c r="G55" s="80" t="str">
        <f>IF(COUNTIF(Data!$D$2:$D$97,$C55)=0,"",VLOOKUP($C55,Data!$D$2:$H$97,G$8,FALSE))</f>
        <v/>
      </c>
      <c r="H55" s="80" t="str">
        <f>IF(COUNTIF(Data!$D$2:$D$97,$C55)=0,"",VLOOKUP($C55,Data!$D$2:$H$97,H$8,FALSE))</f>
        <v/>
      </c>
      <c r="I55" s="80" t="str">
        <f>IF(COUNTIF(Data!$D$2:$D$97,$C55)=0,"",VLOOKUP($C55,Data!$D$2:$H$97,I$8,FALSE))</f>
        <v/>
      </c>
      <c r="J55" s="77" t="str">
        <f>IF(A55="","",VLOOKUP($B55,'Start List'!$B$15:$Y$139,J$8,FALSE))</f>
        <v/>
      </c>
      <c r="K55" s="77" t="str">
        <f>IF(B55="","",VLOOKUP($B55,'Start List'!$B$15:$Y$139,K$8,FALSE))</f>
        <v/>
      </c>
      <c r="L55" s="77" t="str">
        <f>IF(J55="","",VLOOKUP($B55,'Start List'!$B$15:$Y$139,L$8,FALSE))</f>
        <v/>
      </c>
      <c r="M55" s="79" t="str">
        <f>IF(K55="","",VLOOKUP($B55,'Start List'!$B$15:$Y$139,M$8,FALSE))</f>
        <v/>
      </c>
      <c r="N55" s="150" t="str">
        <f>IF($B55="","",VLOOKUP($B55,'Start List'!$B$15:$Y$139,N$8,FALSE))</f>
        <v/>
      </c>
      <c r="O55" s="80" t="str">
        <f>IF($B55="","",VLOOKUP($B55,'Start List'!$B$15:$Y$139,O$8,FALSE))</f>
        <v/>
      </c>
      <c r="P55" s="80" t="str">
        <f>IF($B55="","",VLOOKUP($B55,'Start List'!$B$15:$Y$139,P$8,FALSE))</f>
        <v/>
      </c>
      <c r="Q55" s="150" t="str">
        <f>IF($B55="","",VLOOKUP($B55,'Start List'!$B$15:$Y$139,Q$8,FALSE))</f>
        <v/>
      </c>
      <c r="R55" s="80" t="str">
        <f>IF($B55="","",VLOOKUP($B55,'Start List'!$B$15:$Y$139,R$8,FALSE))</f>
        <v/>
      </c>
      <c r="S55" s="150" t="str">
        <f>IF($B55="","",VLOOKUP($B55,'Start List'!$B$15:$Y$139,S$8,FALSE))</f>
        <v/>
      </c>
      <c r="T55" s="150" t="str">
        <f>IF($B55="","",VLOOKUP($B55,'Start List'!$B$15:$Y$139,T$8,FALSE))</f>
        <v/>
      </c>
      <c r="U55" s="80" t="str">
        <f>IF($B55="","",VLOOKUP($B55,'Start List'!$B$15:$Y$139,U$8,FALSE))</f>
        <v/>
      </c>
      <c r="V55" s="80" t="str">
        <f>IF($B55="","",VLOOKUP($B55,'Start List'!$B$15:$Y$139,V$8,FALSE))</f>
        <v/>
      </c>
      <c r="W55" s="150" t="str">
        <f>IF($B55="","",VLOOKUP($B55,'Start List'!$B$15:$Y$139,W$8,FALSE))</f>
        <v/>
      </c>
      <c r="X55" s="80" t="str">
        <f>IF($B55="","",VLOOKUP($B55,'Start List'!$B$15:$Y$139,X$8,FALSE))</f>
        <v/>
      </c>
      <c r="Y55" s="80" t="str">
        <f>IF($B55="","",VLOOKUP($B55,'Start List'!$B$15:$Y$139,Y$8,FALSE))</f>
        <v/>
      </c>
      <c r="Z55" s="217" t="str">
        <f>IF($B55="","",VLOOKUP($B55,'Start List'!$B$15:$Y$139,Z$8,FALSE))</f>
        <v/>
      </c>
      <c r="AA55" s="218" t="str">
        <f>IF($B55="","",VLOOKUP($B55,'Start List'!$B$15:$Y$139,AA$8,FALSE))</f>
        <v/>
      </c>
      <c r="AB55" s="218" t="str">
        <f>IF($B55="","",VLOOKUP($B55,'Start List'!$B$15:$Y$139,AB$8,FALSE))</f>
        <v/>
      </c>
    </row>
    <row r="56" spans="1:28" ht="12.75" customHeight="1" x14ac:dyDescent="0.2">
      <c r="A56" s="75" t="str">
        <f>'Start List'!A62</f>
        <v/>
      </c>
      <c r="B56" s="76" t="str">
        <f>IF(A56="","",LARGE('Start List'!$B$15:$B$139,A56))</f>
        <v/>
      </c>
      <c r="C56" s="76" t="str">
        <f t="shared" si="0"/>
        <v/>
      </c>
      <c r="D56" s="76" t="str">
        <f t="shared" si="1"/>
        <v/>
      </c>
      <c r="E56" s="76" t="str">
        <f t="shared" si="2"/>
        <v/>
      </c>
      <c r="F56" s="80" t="str">
        <f>IF(COUNTIF(Data!$D$2:$D$97,$C56)=0,"",VLOOKUP($C56,Data!$D$2:$H$97,F$8,FALSE))</f>
        <v/>
      </c>
      <c r="G56" s="80" t="str">
        <f>IF(COUNTIF(Data!$D$2:$D$97,$C56)=0,"",VLOOKUP($C56,Data!$D$2:$H$97,G$8,FALSE))</f>
        <v/>
      </c>
      <c r="H56" s="80" t="str">
        <f>IF(COUNTIF(Data!$D$2:$D$97,$C56)=0,"",VLOOKUP($C56,Data!$D$2:$H$97,H$8,FALSE))</f>
        <v/>
      </c>
      <c r="I56" s="80" t="str">
        <f>IF(COUNTIF(Data!$D$2:$D$97,$C56)=0,"",VLOOKUP($C56,Data!$D$2:$H$97,I$8,FALSE))</f>
        <v/>
      </c>
      <c r="J56" s="77" t="str">
        <f>IF(A56="","",VLOOKUP($B56,'Start List'!$B$15:$Y$139,J$8,FALSE))</f>
        <v/>
      </c>
      <c r="K56" s="77" t="str">
        <f>IF(B56="","",VLOOKUP($B56,'Start List'!$B$15:$Y$139,K$8,FALSE))</f>
        <v/>
      </c>
      <c r="L56" s="77" t="str">
        <f>IF(J56="","",VLOOKUP($B56,'Start List'!$B$15:$Y$139,L$8,FALSE))</f>
        <v/>
      </c>
      <c r="M56" s="79" t="str">
        <f>IF(K56="","",VLOOKUP($B56,'Start List'!$B$15:$Y$139,M$8,FALSE))</f>
        <v/>
      </c>
      <c r="N56" s="150" t="str">
        <f>IF($B56="","",VLOOKUP($B56,'Start List'!$B$15:$Y$139,N$8,FALSE))</f>
        <v/>
      </c>
      <c r="O56" s="80" t="str">
        <f>IF($B56="","",VLOOKUP($B56,'Start List'!$B$15:$Y$139,O$8,FALSE))</f>
        <v/>
      </c>
      <c r="P56" s="80" t="str">
        <f>IF($B56="","",VLOOKUP($B56,'Start List'!$B$15:$Y$139,P$8,FALSE))</f>
        <v/>
      </c>
      <c r="Q56" s="150" t="str">
        <f>IF($B56="","",VLOOKUP($B56,'Start List'!$B$15:$Y$139,Q$8,FALSE))</f>
        <v/>
      </c>
      <c r="R56" s="80" t="str">
        <f>IF($B56="","",VLOOKUP($B56,'Start List'!$B$15:$Y$139,R$8,FALSE))</f>
        <v/>
      </c>
      <c r="S56" s="150" t="str">
        <f>IF($B56="","",VLOOKUP($B56,'Start List'!$B$15:$Y$139,S$8,FALSE))</f>
        <v/>
      </c>
      <c r="T56" s="150" t="str">
        <f>IF($B56="","",VLOOKUP($B56,'Start List'!$B$15:$Y$139,T$8,FALSE))</f>
        <v/>
      </c>
      <c r="U56" s="80" t="str">
        <f>IF($B56="","",VLOOKUP($B56,'Start List'!$B$15:$Y$139,U$8,FALSE))</f>
        <v/>
      </c>
      <c r="V56" s="80" t="str">
        <f>IF($B56="","",VLOOKUP($B56,'Start List'!$B$15:$Y$139,V$8,FALSE))</f>
        <v/>
      </c>
      <c r="W56" s="150" t="str">
        <f>IF($B56="","",VLOOKUP($B56,'Start List'!$B$15:$Y$139,W$8,FALSE))</f>
        <v/>
      </c>
      <c r="X56" s="80" t="str">
        <f>IF($B56="","",VLOOKUP($B56,'Start List'!$B$15:$Y$139,X$8,FALSE))</f>
        <v/>
      </c>
      <c r="Y56" s="80" t="str">
        <f>IF($B56="","",VLOOKUP($B56,'Start List'!$B$15:$Y$139,Y$8,FALSE))</f>
        <v/>
      </c>
      <c r="Z56" s="217" t="str">
        <f>IF($B56="","",VLOOKUP($B56,'Start List'!$B$15:$Y$139,Z$8,FALSE))</f>
        <v/>
      </c>
      <c r="AA56" s="218" t="str">
        <f>IF($B56="","",VLOOKUP($B56,'Start List'!$B$15:$Y$139,AA$8,FALSE))</f>
        <v/>
      </c>
      <c r="AB56" s="218" t="str">
        <f>IF($B56="","",VLOOKUP($B56,'Start List'!$B$15:$Y$139,AB$8,FALSE))</f>
        <v/>
      </c>
    </row>
    <row r="57" spans="1:28" ht="12.75" customHeight="1" x14ac:dyDescent="0.2">
      <c r="A57" s="75" t="str">
        <f>'Start List'!A63</f>
        <v/>
      </c>
      <c r="B57" s="76" t="str">
        <f>IF(A57="","",LARGE('Start List'!$B$15:$B$139,A57))</f>
        <v/>
      </c>
      <c r="C57" s="76" t="str">
        <f t="shared" si="0"/>
        <v/>
      </c>
      <c r="D57" s="76" t="str">
        <f t="shared" si="1"/>
        <v/>
      </c>
      <c r="E57" s="76" t="str">
        <f t="shared" si="2"/>
        <v/>
      </c>
      <c r="F57" s="80" t="str">
        <f>IF(COUNTIF(Data!$D$2:$D$97,$C57)=0,"",VLOOKUP($C57,Data!$D$2:$H$97,F$8,FALSE))</f>
        <v/>
      </c>
      <c r="G57" s="80" t="str">
        <f>IF(COUNTIF(Data!$D$2:$D$97,$C57)=0,"",VLOOKUP($C57,Data!$D$2:$H$97,G$8,FALSE))</f>
        <v/>
      </c>
      <c r="H57" s="80" t="str">
        <f>IF(COUNTIF(Data!$D$2:$D$97,$C57)=0,"",VLOOKUP($C57,Data!$D$2:$H$97,H$8,FALSE))</f>
        <v/>
      </c>
      <c r="I57" s="80" t="str">
        <f>IF(COUNTIF(Data!$D$2:$D$97,$C57)=0,"",VLOOKUP($C57,Data!$D$2:$H$97,I$8,FALSE))</f>
        <v/>
      </c>
      <c r="J57" s="77" t="str">
        <f>IF(A57="","",VLOOKUP($B57,'Start List'!$B$15:$Y$139,J$8,FALSE))</f>
        <v/>
      </c>
      <c r="K57" s="77" t="str">
        <f>IF(B57="","",VLOOKUP($B57,'Start List'!$B$15:$Y$139,K$8,FALSE))</f>
        <v/>
      </c>
      <c r="L57" s="77" t="str">
        <f>IF(J57="","",VLOOKUP($B57,'Start List'!$B$15:$Y$139,L$8,FALSE))</f>
        <v/>
      </c>
      <c r="M57" s="79" t="str">
        <f>IF(K57="","",VLOOKUP($B57,'Start List'!$B$15:$Y$139,M$8,FALSE))</f>
        <v/>
      </c>
      <c r="N57" s="150" t="str">
        <f>IF($B57="","",VLOOKUP($B57,'Start List'!$B$15:$Y$139,N$8,FALSE))</f>
        <v/>
      </c>
      <c r="O57" s="80" t="str">
        <f>IF($B57="","",VLOOKUP($B57,'Start List'!$B$15:$Y$139,O$8,FALSE))</f>
        <v/>
      </c>
      <c r="P57" s="80" t="str">
        <f>IF($B57="","",VLOOKUP($B57,'Start List'!$B$15:$Y$139,P$8,FALSE))</f>
        <v/>
      </c>
      <c r="Q57" s="150" t="str">
        <f>IF($B57="","",VLOOKUP($B57,'Start List'!$B$15:$Y$139,Q$8,FALSE))</f>
        <v/>
      </c>
      <c r="R57" s="80" t="str">
        <f>IF($B57="","",VLOOKUP($B57,'Start List'!$B$15:$Y$139,R$8,FALSE))</f>
        <v/>
      </c>
      <c r="S57" s="150" t="str">
        <f>IF($B57="","",VLOOKUP($B57,'Start List'!$B$15:$Y$139,S$8,FALSE))</f>
        <v/>
      </c>
      <c r="T57" s="150" t="str">
        <f>IF($B57="","",VLOOKUP($B57,'Start List'!$B$15:$Y$139,T$8,FALSE))</f>
        <v/>
      </c>
      <c r="U57" s="80" t="str">
        <f>IF($B57="","",VLOOKUP($B57,'Start List'!$B$15:$Y$139,U$8,FALSE))</f>
        <v/>
      </c>
      <c r="V57" s="80" t="str">
        <f>IF($B57="","",VLOOKUP($B57,'Start List'!$B$15:$Y$139,V$8,FALSE))</f>
        <v/>
      </c>
      <c r="W57" s="150" t="str">
        <f>IF($B57="","",VLOOKUP($B57,'Start List'!$B$15:$Y$139,W$8,FALSE))</f>
        <v/>
      </c>
      <c r="X57" s="80" t="str">
        <f>IF($B57="","",VLOOKUP($B57,'Start List'!$B$15:$Y$139,X$8,FALSE))</f>
        <v/>
      </c>
      <c r="Y57" s="80" t="str">
        <f>IF($B57="","",VLOOKUP($B57,'Start List'!$B$15:$Y$139,Y$8,FALSE))</f>
        <v/>
      </c>
      <c r="Z57" s="217" t="str">
        <f>IF($B57="","",VLOOKUP($B57,'Start List'!$B$15:$Y$139,Z$8,FALSE))</f>
        <v/>
      </c>
      <c r="AA57" s="218" t="str">
        <f>IF($B57="","",VLOOKUP($B57,'Start List'!$B$15:$Y$139,AA$8,FALSE))</f>
        <v/>
      </c>
      <c r="AB57" s="218" t="str">
        <f>IF($B57="","",VLOOKUP($B57,'Start List'!$B$15:$Y$139,AB$8,FALSE))</f>
        <v/>
      </c>
    </row>
    <row r="58" spans="1:28" ht="12.75" customHeight="1" x14ac:dyDescent="0.2">
      <c r="A58" s="75" t="str">
        <f>'Start List'!A64</f>
        <v/>
      </c>
      <c r="B58" s="76" t="str">
        <f>IF(A58="","",LARGE('Start List'!$B$15:$B$139,A58))</f>
        <v/>
      </c>
      <c r="C58" s="76" t="str">
        <f t="shared" si="0"/>
        <v/>
      </c>
      <c r="D58" s="76" t="str">
        <f t="shared" si="1"/>
        <v/>
      </c>
      <c r="E58" s="76" t="str">
        <f t="shared" si="2"/>
        <v/>
      </c>
      <c r="F58" s="80" t="str">
        <f>IF(COUNTIF(Data!$D$2:$D$97,$C58)=0,"",VLOOKUP($C58,Data!$D$2:$H$97,F$8,FALSE))</f>
        <v/>
      </c>
      <c r="G58" s="80" t="str">
        <f>IF(COUNTIF(Data!$D$2:$D$97,$C58)=0,"",VLOOKUP($C58,Data!$D$2:$H$97,G$8,FALSE))</f>
        <v/>
      </c>
      <c r="H58" s="80" t="str">
        <f>IF(COUNTIF(Data!$D$2:$D$97,$C58)=0,"",VLOOKUP($C58,Data!$D$2:$H$97,H$8,FALSE))</f>
        <v/>
      </c>
      <c r="I58" s="80" t="str">
        <f>IF(COUNTIF(Data!$D$2:$D$97,$C58)=0,"",VLOOKUP($C58,Data!$D$2:$H$97,I$8,FALSE))</f>
        <v/>
      </c>
      <c r="J58" s="77" t="str">
        <f>IF(A58="","",VLOOKUP($B58,'Start List'!$B$15:$Y$139,J$8,FALSE))</f>
        <v/>
      </c>
      <c r="K58" s="77" t="str">
        <f>IF(B58="","",VLOOKUP($B58,'Start List'!$B$15:$Y$139,K$8,FALSE))</f>
        <v/>
      </c>
      <c r="L58" s="77" t="str">
        <f>IF(J58="","",VLOOKUP($B58,'Start List'!$B$15:$Y$139,L$8,FALSE))</f>
        <v/>
      </c>
      <c r="M58" s="79" t="str">
        <f>IF(K58="","",VLOOKUP($B58,'Start List'!$B$15:$Y$139,M$8,FALSE))</f>
        <v/>
      </c>
      <c r="N58" s="150" t="str">
        <f>IF($B58="","",VLOOKUP($B58,'Start List'!$B$15:$Y$139,N$8,FALSE))</f>
        <v/>
      </c>
      <c r="O58" s="80" t="str">
        <f>IF($B58="","",VLOOKUP($B58,'Start List'!$B$15:$Y$139,O$8,FALSE))</f>
        <v/>
      </c>
      <c r="P58" s="80" t="str">
        <f>IF($B58="","",VLOOKUP($B58,'Start List'!$B$15:$Y$139,P$8,FALSE))</f>
        <v/>
      </c>
      <c r="Q58" s="150" t="str">
        <f>IF($B58="","",VLOOKUP($B58,'Start List'!$B$15:$Y$139,Q$8,FALSE))</f>
        <v/>
      </c>
      <c r="R58" s="80" t="str">
        <f>IF($B58="","",VLOOKUP($B58,'Start List'!$B$15:$Y$139,R$8,FALSE))</f>
        <v/>
      </c>
      <c r="S58" s="150" t="str">
        <f>IF($B58="","",VLOOKUP($B58,'Start List'!$B$15:$Y$139,S$8,FALSE))</f>
        <v/>
      </c>
      <c r="T58" s="150" t="str">
        <f>IF($B58="","",VLOOKUP($B58,'Start List'!$B$15:$Y$139,T$8,FALSE))</f>
        <v/>
      </c>
      <c r="U58" s="80" t="str">
        <f>IF($B58="","",VLOOKUP($B58,'Start List'!$B$15:$Y$139,U$8,FALSE))</f>
        <v/>
      </c>
      <c r="V58" s="80" t="str">
        <f>IF($B58="","",VLOOKUP($B58,'Start List'!$B$15:$Y$139,V$8,FALSE))</f>
        <v/>
      </c>
      <c r="W58" s="150" t="str">
        <f>IF($B58="","",VLOOKUP($B58,'Start List'!$B$15:$Y$139,W$8,FALSE))</f>
        <v/>
      </c>
      <c r="X58" s="80" t="str">
        <f>IF($B58="","",VLOOKUP($B58,'Start List'!$B$15:$Y$139,X$8,FALSE))</f>
        <v/>
      </c>
      <c r="Y58" s="80" t="str">
        <f>IF($B58="","",VLOOKUP($B58,'Start List'!$B$15:$Y$139,Y$8,FALSE))</f>
        <v/>
      </c>
      <c r="Z58" s="217" t="str">
        <f>IF($B58="","",VLOOKUP($B58,'Start List'!$B$15:$Y$139,Z$8,FALSE))</f>
        <v/>
      </c>
      <c r="AA58" s="218" t="str">
        <f>IF($B58="","",VLOOKUP($B58,'Start List'!$B$15:$Y$139,AA$8,FALSE))</f>
        <v/>
      </c>
      <c r="AB58" s="218" t="str">
        <f>IF($B58="","",VLOOKUP($B58,'Start List'!$B$15:$Y$139,AB$8,FALSE))</f>
        <v/>
      </c>
    </row>
    <row r="59" spans="1:28" ht="12.75" customHeight="1" x14ac:dyDescent="0.2">
      <c r="A59" s="75" t="str">
        <f>'Start List'!A65</f>
        <v/>
      </c>
      <c r="B59" s="76" t="str">
        <f>IF(A59="","",LARGE('Start List'!$B$15:$B$139,A59))</f>
        <v/>
      </c>
      <c r="C59" s="76" t="str">
        <f t="shared" si="0"/>
        <v/>
      </c>
      <c r="D59" s="76" t="str">
        <f t="shared" si="1"/>
        <v/>
      </c>
      <c r="E59" s="76" t="str">
        <f t="shared" si="2"/>
        <v/>
      </c>
      <c r="F59" s="80" t="str">
        <f>IF(COUNTIF(Data!$D$2:$D$97,$C59)=0,"",VLOOKUP($C59,Data!$D$2:$H$97,F$8,FALSE))</f>
        <v/>
      </c>
      <c r="G59" s="80" t="str">
        <f>IF(COUNTIF(Data!$D$2:$D$97,$C59)=0,"",VLOOKUP($C59,Data!$D$2:$H$97,G$8,FALSE))</f>
        <v/>
      </c>
      <c r="H59" s="80" t="str">
        <f>IF(COUNTIF(Data!$D$2:$D$97,$C59)=0,"",VLOOKUP($C59,Data!$D$2:$H$97,H$8,FALSE))</f>
        <v/>
      </c>
      <c r="I59" s="80" t="str">
        <f>IF(COUNTIF(Data!$D$2:$D$97,$C59)=0,"",VLOOKUP($C59,Data!$D$2:$H$97,I$8,FALSE))</f>
        <v/>
      </c>
      <c r="J59" s="77" t="str">
        <f>IF(A59="","",VLOOKUP($B59,'Start List'!$B$15:$Y$139,J$8,FALSE))</f>
        <v/>
      </c>
      <c r="K59" s="77" t="str">
        <f>IF(B59="","",VLOOKUP($B59,'Start List'!$B$15:$Y$139,K$8,FALSE))</f>
        <v/>
      </c>
      <c r="L59" s="77" t="str">
        <f>IF(J59="","",VLOOKUP($B59,'Start List'!$B$15:$Y$139,L$8,FALSE))</f>
        <v/>
      </c>
      <c r="M59" s="79" t="str">
        <f>IF(K59="","",VLOOKUP($B59,'Start List'!$B$15:$Y$139,M$8,FALSE))</f>
        <v/>
      </c>
      <c r="N59" s="150" t="str">
        <f>IF($B59="","",VLOOKUP($B59,'Start List'!$B$15:$Y$139,N$8,FALSE))</f>
        <v/>
      </c>
      <c r="O59" s="80" t="str">
        <f>IF($B59="","",VLOOKUP($B59,'Start List'!$B$15:$Y$139,O$8,FALSE))</f>
        <v/>
      </c>
      <c r="P59" s="80" t="str">
        <f>IF($B59="","",VLOOKUP($B59,'Start List'!$B$15:$Y$139,P$8,FALSE))</f>
        <v/>
      </c>
      <c r="Q59" s="150" t="str">
        <f>IF($B59="","",VLOOKUP($B59,'Start List'!$B$15:$Y$139,Q$8,FALSE))</f>
        <v/>
      </c>
      <c r="R59" s="80" t="str">
        <f>IF($B59="","",VLOOKUP($B59,'Start List'!$B$15:$Y$139,R$8,FALSE))</f>
        <v/>
      </c>
      <c r="S59" s="150" t="str">
        <f>IF($B59="","",VLOOKUP($B59,'Start List'!$B$15:$Y$139,S$8,FALSE))</f>
        <v/>
      </c>
      <c r="T59" s="150" t="str">
        <f>IF($B59="","",VLOOKUP($B59,'Start List'!$B$15:$Y$139,T$8,FALSE))</f>
        <v/>
      </c>
      <c r="U59" s="80" t="str">
        <f>IF($B59="","",VLOOKUP($B59,'Start List'!$B$15:$Y$139,U$8,FALSE))</f>
        <v/>
      </c>
      <c r="V59" s="80" t="str">
        <f>IF($B59="","",VLOOKUP($B59,'Start List'!$B$15:$Y$139,V$8,FALSE))</f>
        <v/>
      </c>
      <c r="W59" s="150" t="str">
        <f>IF($B59="","",VLOOKUP($B59,'Start List'!$B$15:$Y$139,W$8,FALSE))</f>
        <v/>
      </c>
      <c r="X59" s="80" t="str">
        <f>IF($B59="","",VLOOKUP($B59,'Start List'!$B$15:$Y$139,X$8,FALSE))</f>
        <v/>
      </c>
      <c r="Y59" s="80" t="str">
        <f>IF($B59="","",VLOOKUP($B59,'Start List'!$B$15:$Y$139,Y$8,FALSE))</f>
        <v/>
      </c>
      <c r="Z59" s="217" t="str">
        <f>IF($B59="","",VLOOKUP($B59,'Start List'!$B$15:$Y$139,Z$8,FALSE))</f>
        <v/>
      </c>
      <c r="AA59" s="218" t="str">
        <f>IF($B59="","",VLOOKUP($B59,'Start List'!$B$15:$Y$139,AA$8,FALSE))</f>
        <v/>
      </c>
      <c r="AB59" s="218" t="str">
        <f>IF($B59="","",VLOOKUP($B59,'Start List'!$B$15:$Y$139,AB$8,FALSE))</f>
        <v/>
      </c>
    </row>
    <row r="60" spans="1:28" ht="12.75" customHeight="1" x14ac:dyDescent="0.2">
      <c r="A60" s="75" t="str">
        <f>'Start List'!A66</f>
        <v/>
      </c>
      <c r="B60" s="76" t="str">
        <f>IF(A60="","",LARGE('Start List'!$B$15:$B$139,A60))</f>
        <v/>
      </c>
      <c r="C60" s="76" t="str">
        <f t="shared" si="0"/>
        <v/>
      </c>
      <c r="D60" s="76" t="str">
        <f t="shared" si="1"/>
        <v/>
      </c>
      <c r="E60" s="76" t="str">
        <f t="shared" si="2"/>
        <v/>
      </c>
      <c r="F60" s="80" t="str">
        <f>IF(COUNTIF(Data!$D$2:$D$97,$C60)=0,"",VLOOKUP($C60,Data!$D$2:$H$97,F$8,FALSE))</f>
        <v/>
      </c>
      <c r="G60" s="80" t="str">
        <f>IF(COUNTIF(Data!$D$2:$D$97,$C60)=0,"",VLOOKUP($C60,Data!$D$2:$H$97,G$8,FALSE))</f>
        <v/>
      </c>
      <c r="H60" s="80" t="str">
        <f>IF(COUNTIF(Data!$D$2:$D$97,$C60)=0,"",VLOOKUP($C60,Data!$D$2:$H$97,H$8,FALSE))</f>
        <v/>
      </c>
      <c r="I60" s="80" t="str">
        <f>IF(COUNTIF(Data!$D$2:$D$97,$C60)=0,"",VLOOKUP($C60,Data!$D$2:$H$97,I$8,FALSE))</f>
        <v/>
      </c>
      <c r="J60" s="77" t="str">
        <f>IF(A60="","",VLOOKUP($B60,'Start List'!$B$15:$Y$139,J$8,FALSE))</f>
        <v/>
      </c>
      <c r="K60" s="77" t="str">
        <f>IF(B60="","",VLOOKUP($B60,'Start List'!$B$15:$Y$139,K$8,FALSE))</f>
        <v/>
      </c>
      <c r="L60" s="77" t="str">
        <f>IF(J60="","",VLOOKUP($B60,'Start List'!$B$15:$Y$139,L$8,FALSE))</f>
        <v/>
      </c>
      <c r="M60" s="79" t="str">
        <f>IF(K60="","",VLOOKUP($B60,'Start List'!$B$15:$Y$139,M$8,FALSE))</f>
        <v/>
      </c>
      <c r="N60" s="150" t="str">
        <f>IF($B60="","",VLOOKUP($B60,'Start List'!$B$15:$Y$139,N$8,FALSE))</f>
        <v/>
      </c>
      <c r="O60" s="80" t="str">
        <f>IF($B60="","",VLOOKUP($B60,'Start List'!$B$15:$Y$139,O$8,FALSE))</f>
        <v/>
      </c>
      <c r="P60" s="80" t="str">
        <f>IF($B60="","",VLOOKUP($B60,'Start List'!$B$15:$Y$139,P$8,FALSE))</f>
        <v/>
      </c>
      <c r="Q60" s="150" t="str">
        <f>IF($B60="","",VLOOKUP($B60,'Start List'!$B$15:$Y$139,Q$8,FALSE))</f>
        <v/>
      </c>
      <c r="R60" s="80" t="str">
        <f>IF($B60="","",VLOOKUP($B60,'Start List'!$B$15:$Y$139,R$8,FALSE))</f>
        <v/>
      </c>
      <c r="S60" s="150" t="str">
        <f>IF($B60="","",VLOOKUP($B60,'Start List'!$B$15:$Y$139,S$8,FALSE))</f>
        <v/>
      </c>
      <c r="T60" s="150" t="str">
        <f>IF($B60="","",VLOOKUP($B60,'Start List'!$B$15:$Y$139,T$8,FALSE))</f>
        <v/>
      </c>
      <c r="U60" s="80" t="str">
        <f>IF($B60="","",VLOOKUP($B60,'Start List'!$B$15:$Y$139,U$8,FALSE))</f>
        <v/>
      </c>
      <c r="V60" s="80" t="str">
        <f>IF($B60="","",VLOOKUP($B60,'Start List'!$B$15:$Y$139,V$8,FALSE))</f>
        <v/>
      </c>
      <c r="W60" s="150" t="str">
        <f>IF($B60="","",VLOOKUP($B60,'Start List'!$B$15:$Y$139,W$8,FALSE))</f>
        <v/>
      </c>
      <c r="X60" s="80" t="str">
        <f>IF($B60="","",VLOOKUP($B60,'Start List'!$B$15:$Y$139,X$8,FALSE))</f>
        <v/>
      </c>
      <c r="Y60" s="80" t="str">
        <f>IF($B60="","",VLOOKUP($B60,'Start List'!$B$15:$Y$139,Y$8,FALSE))</f>
        <v/>
      </c>
      <c r="Z60" s="217" t="str">
        <f>IF($B60="","",VLOOKUP($B60,'Start List'!$B$15:$Y$139,Z$8,FALSE))</f>
        <v/>
      </c>
      <c r="AA60" s="218" t="str">
        <f>IF($B60="","",VLOOKUP($B60,'Start List'!$B$15:$Y$139,AA$8,FALSE))</f>
        <v/>
      </c>
      <c r="AB60" s="218" t="str">
        <f>IF($B60="","",VLOOKUP($B60,'Start List'!$B$15:$Y$139,AB$8,FALSE))</f>
        <v/>
      </c>
    </row>
    <row r="61" spans="1:28" ht="12.75" customHeight="1" x14ac:dyDescent="0.2">
      <c r="A61" s="75" t="str">
        <f>'Start List'!A67</f>
        <v/>
      </c>
      <c r="B61" s="76" t="str">
        <f>IF(A61="","",LARGE('Start List'!$B$15:$B$139,A61))</f>
        <v/>
      </c>
      <c r="C61" s="76" t="str">
        <f t="shared" si="0"/>
        <v/>
      </c>
      <c r="D61" s="76" t="str">
        <f t="shared" si="1"/>
        <v/>
      </c>
      <c r="E61" s="76" t="str">
        <f t="shared" si="2"/>
        <v/>
      </c>
      <c r="F61" s="80" t="str">
        <f>IF(COUNTIF(Data!$D$2:$D$97,$C61)=0,"",VLOOKUP($C61,Data!$D$2:$H$97,F$8,FALSE))</f>
        <v/>
      </c>
      <c r="G61" s="80" t="str">
        <f>IF(COUNTIF(Data!$D$2:$D$97,$C61)=0,"",VLOOKUP($C61,Data!$D$2:$H$97,G$8,FALSE))</f>
        <v/>
      </c>
      <c r="H61" s="80" t="str">
        <f>IF(COUNTIF(Data!$D$2:$D$97,$C61)=0,"",VLOOKUP($C61,Data!$D$2:$H$97,H$8,FALSE))</f>
        <v/>
      </c>
      <c r="I61" s="80" t="str">
        <f>IF(COUNTIF(Data!$D$2:$D$97,$C61)=0,"",VLOOKUP($C61,Data!$D$2:$H$97,I$8,FALSE))</f>
        <v/>
      </c>
      <c r="J61" s="77" t="str">
        <f>IF(A61="","",VLOOKUP($B61,'Start List'!$B$15:$Y$139,J$8,FALSE))</f>
        <v/>
      </c>
      <c r="K61" s="77" t="str">
        <f>IF(B61="","",VLOOKUP($B61,'Start List'!$B$15:$Y$139,K$8,FALSE))</f>
        <v/>
      </c>
      <c r="L61" s="77" t="str">
        <f>IF(J61="","",VLOOKUP($B61,'Start List'!$B$15:$Y$139,L$8,FALSE))</f>
        <v/>
      </c>
      <c r="M61" s="79" t="str">
        <f>IF(K61="","",VLOOKUP($B61,'Start List'!$B$15:$Y$139,M$8,FALSE))</f>
        <v/>
      </c>
      <c r="N61" s="150" t="str">
        <f>IF($B61="","",VLOOKUP($B61,'Start List'!$B$15:$Y$139,N$8,FALSE))</f>
        <v/>
      </c>
      <c r="O61" s="80" t="str">
        <f>IF($B61="","",VLOOKUP($B61,'Start List'!$B$15:$Y$139,O$8,FALSE))</f>
        <v/>
      </c>
      <c r="P61" s="80" t="str">
        <f>IF($B61="","",VLOOKUP($B61,'Start List'!$B$15:$Y$139,P$8,FALSE))</f>
        <v/>
      </c>
      <c r="Q61" s="150" t="str">
        <f>IF($B61="","",VLOOKUP($B61,'Start List'!$B$15:$Y$139,Q$8,FALSE))</f>
        <v/>
      </c>
      <c r="R61" s="80" t="str">
        <f>IF($B61="","",VLOOKUP($B61,'Start List'!$B$15:$Y$139,R$8,FALSE))</f>
        <v/>
      </c>
      <c r="S61" s="150" t="str">
        <f>IF($B61="","",VLOOKUP($B61,'Start List'!$B$15:$Y$139,S$8,FALSE))</f>
        <v/>
      </c>
      <c r="T61" s="150" t="str">
        <f>IF($B61="","",VLOOKUP($B61,'Start List'!$B$15:$Y$139,T$8,FALSE))</f>
        <v/>
      </c>
      <c r="U61" s="80" t="str">
        <f>IF($B61="","",VLOOKUP($B61,'Start List'!$B$15:$Y$139,U$8,FALSE))</f>
        <v/>
      </c>
      <c r="V61" s="80" t="str">
        <f>IF($B61="","",VLOOKUP($B61,'Start List'!$B$15:$Y$139,V$8,FALSE))</f>
        <v/>
      </c>
      <c r="W61" s="150" t="str">
        <f>IF($B61="","",VLOOKUP($B61,'Start List'!$B$15:$Y$139,W$8,FALSE))</f>
        <v/>
      </c>
      <c r="X61" s="80" t="str">
        <f>IF($B61="","",VLOOKUP($B61,'Start List'!$B$15:$Y$139,X$8,FALSE))</f>
        <v/>
      </c>
      <c r="Y61" s="80" t="str">
        <f>IF($B61="","",VLOOKUP($B61,'Start List'!$B$15:$Y$139,Y$8,FALSE))</f>
        <v/>
      </c>
      <c r="Z61" s="217" t="str">
        <f>IF($B61="","",VLOOKUP($B61,'Start List'!$B$15:$Y$139,Z$8,FALSE))</f>
        <v/>
      </c>
      <c r="AA61" s="218" t="str">
        <f>IF($B61="","",VLOOKUP($B61,'Start List'!$B$15:$Y$139,AA$8,FALSE))</f>
        <v/>
      </c>
      <c r="AB61" s="218" t="str">
        <f>IF($B61="","",VLOOKUP($B61,'Start List'!$B$15:$Y$139,AB$8,FALSE))</f>
        <v/>
      </c>
    </row>
    <row r="62" spans="1:28" ht="12.75" customHeight="1" x14ac:dyDescent="0.2">
      <c r="A62" s="75" t="str">
        <f>'Start List'!A68</f>
        <v/>
      </c>
      <c r="B62" s="76" t="str">
        <f>IF(A62="","",LARGE('Start List'!$B$15:$B$139,A62))</f>
        <v/>
      </c>
      <c r="C62" s="76" t="str">
        <f t="shared" si="0"/>
        <v/>
      </c>
      <c r="D62" s="76" t="str">
        <f t="shared" si="1"/>
        <v/>
      </c>
      <c r="E62" s="76" t="str">
        <f t="shared" si="2"/>
        <v/>
      </c>
      <c r="F62" s="80" t="str">
        <f>IF(COUNTIF(Data!$D$2:$D$97,$C62)=0,"",VLOOKUP($C62,Data!$D$2:$H$97,F$8,FALSE))</f>
        <v/>
      </c>
      <c r="G62" s="80" t="str">
        <f>IF(COUNTIF(Data!$D$2:$D$97,$C62)=0,"",VLOOKUP($C62,Data!$D$2:$H$97,G$8,FALSE))</f>
        <v/>
      </c>
      <c r="H62" s="80" t="str">
        <f>IF(COUNTIF(Data!$D$2:$D$97,$C62)=0,"",VLOOKUP($C62,Data!$D$2:$H$97,H$8,FALSE))</f>
        <v/>
      </c>
      <c r="I62" s="80" t="str">
        <f>IF(COUNTIF(Data!$D$2:$D$97,$C62)=0,"",VLOOKUP($C62,Data!$D$2:$H$97,I$8,FALSE))</f>
        <v/>
      </c>
      <c r="J62" s="77" t="str">
        <f>IF(A62="","",VLOOKUP($B62,'Start List'!$B$15:$Y$139,J$8,FALSE))</f>
        <v/>
      </c>
      <c r="K62" s="77" t="str">
        <f>IF(B62="","",VLOOKUP($B62,'Start List'!$B$15:$Y$139,K$8,FALSE))</f>
        <v/>
      </c>
      <c r="L62" s="77" t="str">
        <f>IF(J62="","",VLOOKUP($B62,'Start List'!$B$15:$Y$139,L$8,FALSE))</f>
        <v/>
      </c>
      <c r="M62" s="79" t="str">
        <f>IF(K62="","",VLOOKUP($B62,'Start List'!$B$15:$Y$139,M$8,FALSE))</f>
        <v/>
      </c>
      <c r="N62" s="150" t="str">
        <f>IF($B62="","",VLOOKUP($B62,'Start List'!$B$15:$Y$139,N$8,FALSE))</f>
        <v/>
      </c>
      <c r="O62" s="80" t="str">
        <f>IF($B62="","",VLOOKUP($B62,'Start List'!$B$15:$Y$139,O$8,FALSE))</f>
        <v/>
      </c>
      <c r="P62" s="80" t="str">
        <f>IF($B62="","",VLOOKUP($B62,'Start List'!$B$15:$Y$139,P$8,FALSE))</f>
        <v/>
      </c>
      <c r="Q62" s="150" t="str">
        <f>IF($B62="","",VLOOKUP($B62,'Start List'!$B$15:$Y$139,Q$8,FALSE))</f>
        <v/>
      </c>
      <c r="R62" s="80" t="str">
        <f>IF($B62="","",VLOOKUP($B62,'Start List'!$B$15:$Y$139,R$8,FALSE))</f>
        <v/>
      </c>
      <c r="S62" s="150" t="str">
        <f>IF($B62="","",VLOOKUP($B62,'Start List'!$B$15:$Y$139,S$8,FALSE))</f>
        <v/>
      </c>
      <c r="T62" s="150" t="str">
        <f>IF($B62="","",VLOOKUP($B62,'Start List'!$B$15:$Y$139,T$8,FALSE))</f>
        <v/>
      </c>
      <c r="U62" s="80" t="str">
        <f>IF($B62="","",VLOOKUP($B62,'Start List'!$B$15:$Y$139,U$8,FALSE))</f>
        <v/>
      </c>
      <c r="V62" s="80" t="str">
        <f>IF($B62="","",VLOOKUP($B62,'Start List'!$B$15:$Y$139,V$8,FALSE))</f>
        <v/>
      </c>
      <c r="W62" s="150" t="str">
        <f>IF($B62="","",VLOOKUP($B62,'Start List'!$B$15:$Y$139,W$8,FALSE))</f>
        <v/>
      </c>
      <c r="X62" s="80" t="str">
        <f>IF($B62="","",VLOOKUP($B62,'Start List'!$B$15:$Y$139,X$8,FALSE))</f>
        <v/>
      </c>
      <c r="Y62" s="80" t="str">
        <f>IF($B62="","",VLOOKUP($B62,'Start List'!$B$15:$Y$139,Y$8,FALSE))</f>
        <v/>
      </c>
      <c r="Z62" s="217" t="str">
        <f>IF($B62="","",VLOOKUP($B62,'Start List'!$B$15:$Y$139,Z$8,FALSE))</f>
        <v/>
      </c>
      <c r="AA62" s="218" t="str">
        <f>IF($B62="","",VLOOKUP($B62,'Start List'!$B$15:$Y$139,AA$8,FALSE))</f>
        <v/>
      </c>
      <c r="AB62" s="218" t="str">
        <f>IF($B62="","",VLOOKUP($B62,'Start List'!$B$15:$Y$139,AB$8,FALSE))</f>
        <v/>
      </c>
    </row>
    <row r="63" spans="1:28" ht="12.75" customHeight="1" x14ac:dyDescent="0.2">
      <c r="A63" s="75" t="str">
        <f>'Start List'!A69</f>
        <v/>
      </c>
      <c r="B63" s="76" t="str">
        <f>IF(A63="","",LARGE('Start List'!$B$15:$B$139,A63))</f>
        <v/>
      </c>
      <c r="C63" s="76" t="str">
        <f t="shared" si="0"/>
        <v/>
      </c>
      <c r="D63" s="76" t="str">
        <f t="shared" si="1"/>
        <v/>
      </c>
      <c r="E63" s="76" t="str">
        <f t="shared" si="2"/>
        <v/>
      </c>
      <c r="F63" s="80" t="str">
        <f>IF(COUNTIF(Data!$D$2:$D$97,$C63)=0,"",VLOOKUP($C63,Data!$D$2:$H$97,F$8,FALSE))</f>
        <v/>
      </c>
      <c r="G63" s="80" t="str">
        <f>IF(COUNTIF(Data!$D$2:$D$97,$C63)=0,"",VLOOKUP($C63,Data!$D$2:$H$97,G$8,FALSE))</f>
        <v/>
      </c>
      <c r="H63" s="80" t="str">
        <f>IF(COUNTIF(Data!$D$2:$D$97,$C63)=0,"",VLOOKUP($C63,Data!$D$2:$H$97,H$8,FALSE))</f>
        <v/>
      </c>
      <c r="I63" s="80" t="str">
        <f>IF(COUNTIF(Data!$D$2:$D$97,$C63)=0,"",VLOOKUP($C63,Data!$D$2:$H$97,I$8,FALSE))</f>
        <v/>
      </c>
      <c r="J63" s="77" t="str">
        <f>IF(A63="","",VLOOKUP($B63,'Start List'!$B$15:$Y$139,J$8,FALSE))</f>
        <v/>
      </c>
      <c r="K63" s="77" t="str">
        <f>IF(B63="","",VLOOKUP($B63,'Start List'!$B$15:$Y$139,K$8,FALSE))</f>
        <v/>
      </c>
      <c r="L63" s="77" t="str">
        <f>IF(J63="","",VLOOKUP($B63,'Start List'!$B$15:$Y$139,L$8,FALSE))</f>
        <v/>
      </c>
      <c r="M63" s="79" t="str">
        <f>IF(K63="","",VLOOKUP($B63,'Start List'!$B$15:$Y$139,M$8,FALSE))</f>
        <v/>
      </c>
      <c r="N63" s="150" t="str">
        <f>IF($B63="","",VLOOKUP($B63,'Start List'!$B$15:$Y$139,N$8,FALSE))</f>
        <v/>
      </c>
      <c r="O63" s="80" t="str">
        <f>IF($B63="","",VLOOKUP($B63,'Start List'!$B$15:$Y$139,O$8,FALSE))</f>
        <v/>
      </c>
      <c r="P63" s="80" t="str">
        <f>IF($B63="","",VLOOKUP($B63,'Start List'!$B$15:$Y$139,P$8,FALSE))</f>
        <v/>
      </c>
      <c r="Q63" s="150" t="str">
        <f>IF($B63="","",VLOOKUP($B63,'Start List'!$B$15:$Y$139,Q$8,FALSE))</f>
        <v/>
      </c>
      <c r="R63" s="80" t="str">
        <f>IF($B63="","",VLOOKUP($B63,'Start List'!$B$15:$Y$139,R$8,FALSE))</f>
        <v/>
      </c>
      <c r="S63" s="150" t="str">
        <f>IF($B63="","",VLOOKUP($B63,'Start List'!$B$15:$Y$139,S$8,FALSE))</f>
        <v/>
      </c>
      <c r="T63" s="150" t="str">
        <f>IF($B63="","",VLOOKUP($B63,'Start List'!$B$15:$Y$139,T$8,FALSE))</f>
        <v/>
      </c>
      <c r="U63" s="80" t="str">
        <f>IF($B63="","",VLOOKUP($B63,'Start List'!$B$15:$Y$139,U$8,FALSE))</f>
        <v/>
      </c>
      <c r="V63" s="80" t="str">
        <f>IF($B63="","",VLOOKUP($B63,'Start List'!$B$15:$Y$139,V$8,FALSE))</f>
        <v/>
      </c>
      <c r="W63" s="150" t="str">
        <f>IF($B63="","",VLOOKUP($B63,'Start List'!$B$15:$Y$139,W$8,FALSE))</f>
        <v/>
      </c>
      <c r="X63" s="80" t="str">
        <f>IF($B63="","",VLOOKUP($B63,'Start List'!$B$15:$Y$139,X$8,FALSE))</f>
        <v/>
      </c>
      <c r="Y63" s="80" t="str">
        <f>IF($B63="","",VLOOKUP($B63,'Start List'!$B$15:$Y$139,Y$8,FALSE))</f>
        <v/>
      </c>
      <c r="Z63" s="217" t="str">
        <f>IF($B63="","",VLOOKUP($B63,'Start List'!$B$15:$Y$139,Z$8,FALSE))</f>
        <v/>
      </c>
      <c r="AA63" s="218" t="str">
        <f>IF($B63="","",VLOOKUP($B63,'Start List'!$B$15:$Y$139,AA$8,FALSE))</f>
        <v/>
      </c>
      <c r="AB63" s="218" t="str">
        <f>IF($B63="","",VLOOKUP($B63,'Start List'!$B$15:$Y$139,AB$8,FALSE))</f>
        <v/>
      </c>
    </row>
    <row r="64" spans="1:28" ht="12.75" customHeight="1" x14ac:dyDescent="0.2">
      <c r="A64" s="75" t="str">
        <f>'Start List'!A70</f>
        <v/>
      </c>
      <c r="B64" s="76" t="str">
        <f>IF(A64="","",LARGE('Start List'!$B$15:$B$139,A64))</f>
        <v/>
      </c>
      <c r="C64" s="76" t="str">
        <f t="shared" si="0"/>
        <v/>
      </c>
      <c r="D64" s="76" t="str">
        <f t="shared" si="1"/>
        <v/>
      </c>
      <c r="E64" s="76" t="str">
        <f t="shared" si="2"/>
        <v/>
      </c>
      <c r="F64" s="80" t="str">
        <f>IF(COUNTIF(Data!$D$2:$D$97,$C64)=0,"",VLOOKUP($C64,Data!$D$2:$H$97,F$8,FALSE))</f>
        <v/>
      </c>
      <c r="G64" s="80" t="str">
        <f>IF(COUNTIF(Data!$D$2:$D$97,$C64)=0,"",VLOOKUP($C64,Data!$D$2:$H$97,G$8,FALSE))</f>
        <v/>
      </c>
      <c r="H64" s="80" t="str">
        <f>IF(COUNTIF(Data!$D$2:$D$97,$C64)=0,"",VLOOKUP($C64,Data!$D$2:$H$97,H$8,FALSE))</f>
        <v/>
      </c>
      <c r="I64" s="80" t="str">
        <f>IF(COUNTIF(Data!$D$2:$D$97,$C64)=0,"",VLOOKUP($C64,Data!$D$2:$H$97,I$8,FALSE))</f>
        <v/>
      </c>
      <c r="J64" s="77" t="str">
        <f>IF(A64="","",VLOOKUP($B64,'Start List'!$B$15:$Y$139,J$8,FALSE))</f>
        <v/>
      </c>
      <c r="K64" s="77" t="str">
        <f>IF(B64="","",VLOOKUP($B64,'Start List'!$B$15:$Y$139,K$8,FALSE))</f>
        <v/>
      </c>
      <c r="L64" s="77" t="str">
        <f>IF(J64="","",VLOOKUP($B64,'Start List'!$B$15:$Y$139,L$8,FALSE))</f>
        <v/>
      </c>
      <c r="M64" s="79" t="str">
        <f>IF(K64="","",VLOOKUP($B64,'Start List'!$B$15:$Y$139,M$8,FALSE))</f>
        <v/>
      </c>
      <c r="N64" s="150" t="str">
        <f>IF($B64="","",VLOOKUP($B64,'Start List'!$B$15:$Y$139,N$8,FALSE))</f>
        <v/>
      </c>
      <c r="O64" s="80" t="str">
        <f>IF($B64="","",VLOOKUP($B64,'Start List'!$B$15:$Y$139,O$8,FALSE))</f>
        <v/>
      </c>
      <c r="P64" s="80" t="str">
        <f>IF($B64="","",VLOOKUP($B64,'Start List'!$B$15:$Y$139,P$8,FALSE))</f>
        <v/>
      </c>
      <c r="Q64" s="150" t="str">
        <f>IF($B64="","",VLOOKUP($B64,'Start List'!$B$15:$Y$139,Q$8,FALSE))</f>
        <v/>
      </c>
      <c r="R64" s="80" t="str">
        <f>IF($B64="","",VLOOKUP($B64,'Start List'!$B$15:$Y$139,R$8,FALSE))</f>
        <v/>
      </c>
      <c r="S64" s="150" t="str">
        <f>IF($B64="","",VLOOKUP($B64,'Start List'!$B$15:$Y$139,S$8,FALSE))</f>
        <v/>
      </c>
      <c r="T64" s="150" t="str">
        <f>IF($B64="","",VLOOKUP($B64,'Start List'!$B$15:$Y$139,T$8,FALSE))</f>
        <v/>
      </c>
      <c r="U64" s="80" t="str">
        <f>IF($B64="","",VLOOKUP($B64,'Start List'!$B$15:$Y$139,U$8,FALSE))</f>
        <v/>
      </c>
      <c r="V64" s="80" t="str">
        <f>IF($B64="","",VLOOKUP($B64,'Start List'!$B$15:$Y$139,V$8,FALSE))</f>
        <v/>
      </c>
      <c r="W64" s="150" t="str">
        <f>IF($B64="","",VLOOKUP($B64,'Start List'!$B$15:$Y$139,W$8,FALSE))</f>
        <v/>
      </c>
      <c r="X64" s="80" t="str">
        <f>IF($B64="","",VLOOKUP($B64,'Start List'!$B$15:$Y$139,X$8,FALSE))</f>
        <v/>
      </c>
      <c r="Y64" s="80" t="str">
        <f>IF($B64="","",VLOOKUP($B64,'Start List'!$B$15:$Y$139,Y$8,FALSE))</f>
        <v/>
      </c>
      <c r="Z64" s="217" t="str">
        <f>IF($B64="","",VLOOKUP($B64,'Start List'!$B$15:$Y$139,Z$8,FALSE))</f>
        <v/>
      </c>
      <c r="AA64" s="218" t="str">
        <f>IF($B64="","",VLOOKUP($B64,'Start List'!$B$15:$Y$139,AA$8,FALSE))</f>
        <v/>
      </c>
      <c r="AB64" s="218" t="str">
        <f>IF($B64="","",VLOOKUP($B64,'Start List'!$B$15:$Y$139,AB$8,FALSE))</f>
        <v/>
      </c>
    </row>
    <row r="65" spans="1:28" ht="12.75" customHeight="1" x14ac:dyDescent="0.2">
      <c r="A65" s="75" t="str">
        <f>'Start List'!A71</f>
        <v/>
      </c>
      <c r="B65" s="76" t="str">
        <f>IF(A65="","",LARGE('Start List'!$B$15:$B$139,A65))</f>
        <v/>
      </c>
      <c r="C65" s="76" t="str">
        <f t="shared" si="0"/>
        <v/>
      </c>
      <c r="D65" s="76" t="str">
        <f t="shared" si="1"/>
        <v/>
      </c>
      <c r="E65" s="76" t="str">
        <f t="shared" si="2"/>
        <v/>
      </c>
      <c r="F65" s="80" t="str">
        <f>IF(COUNTIF(Data!$D$2:$D$97,$C65)=0,"",VLOOKUP($C65,Data!$D$2:$H$97,F$8,FALSE))</f>
        <v/>
      </c>
      <c r="G65" s="80" t="str">
        <f>IF(COUNTIF(Data!$D$2:$D$97,$C65)=0,"",VLOOKUP($C65,Data!$D$2:$H$97,G$8,FALSE))</f>
        <v/>
      </c>
      <c r="H65" s="80" t="str">
        <f>IF(COUNTIF(Data!$D$2:$D$97,$C65)=0,"",VLOOKUP($C65,Data!$D$2:$H$97,H$8,FALSE))</f>
        <v/>
      </c>
      <c r="I65" s="80" t="str">
        <f>IF(COUNTIF(Data!$D$2:$D$97,$C65)=0,"",VLOOKUP($C65,Data!$D$2:$H$97,I$8,FALSE))</f>
        <v/>
      </c>
      <c r="J65" s="77" t="str">
        <f>IF(A65="","",VLOOKUP($B65,'Start List'!$B$15:$Y$139,J$8,FALSE))</f>
        <v/>
      </c>
      <c r="K65" s="77" t="str">
        <f>IF(B65="","",VLOOKUP($B65,'Start List'!$B$15:$Y$139,K$8,FALSE))</f>
        <v/>
      </c>
      <c r="L65" s="77" t="str">
        <f>IF(J65="","",VLOOKUP($B65,'Start List'!$B$15:$Y$139,L$8,FALSE))</f>
        <v/>
      </c>
      <c r="M65" s="79" t="str">
        <f>IF(K65="","",VLOOKUP($B65,'Start List'!$B$15:$Y$139,M$8,FALSE))</f>
        <v/>
      </c>
      <c r="N65" s="150" t="str">
        <f>IF($B65="","",VLOOKUP($B65,'Start List'!$B$15:$Y$139,N$8,FALSE))</f>
        <v/>
      </c>
      <c r="O65" s="80" t="str">
        <f>IF($B65="","",VLOOKUP($B65,'Start List'!$B$15:$Y$139,O$8,FALSE))</f>
        <v/>
      </c>
      <c r="P65" s="80" t="str">
        <f>IF($B65="","",VLOOKUP($B65,'Start List'!$B$15:$Y$139,P$8,FALSE))</f>
        <v/>
      </c>
      <c r="Q65" s="150" t="str">
        <f>IF($B65="","",VLOOKUP($B65,'Start List'!$B$15:$Y$139,Q$8,FALSE))</f>
        <v/>
      </c>
      <c r="R65" s="80" t="str">
        <f>IF($B65="","",VLOOKUP($B65,'Start List'!$B$15:$Y$139,R$8,FALSE))</f>
        <v/>
      </c>
      <c r="S65" s="150" t="str">
        <f>IF($B65="","",VLOOKUP($B65,'Start List'!$B$15:$Y$139,S$8,FALSE))</f>
        <v/>
      </c>
      <c r="T65" s="150" t="str">
        <f>IF($B65="","",VLOOKUP($B65,'Start List'!$B$15:$Y$139,T$8,FALSE))</f>
        <v/>
      </c>
      <c r="U65" s="80" t="str">
        <f>IF($B65="","",VLOOKUP($B65,'Start List'!$B$15:$Y$139,U$8,FALSE))</f>
        <v/>
      </c>
      <c r="V65" s="80" t="str">
        <f>IF($B65="","",VLOOKUP($B65,'Start List'!$B$15:$Y$139,V$8,FALSE))</f>
        <v/>
      </c>
      <c r="W65" s="150" t="str">
        <f>IF($B65="","",VLOOKUP($B65,'Start List'!$B$15:$Y$139,W$8,FALSE))</f>
        <v/>
      </c>
      <c r="X65" s="80" t="str">
        <f>IF($B65="","",VLOOKUP($B65,'Start List'!$B$15:$Y$139,X$8,FALSE))</f>
        <v/>
      </c>
      <c r="Y65" s="80" t="str">
        <f>IF($B65="","",VLOOKUP($B65,'Start List'!$B$15:$Y$139,Y$8,FALSE))</f>
        <v/>
      </c>
      <c r="Z65" s="217" t="str">
        <f>IF($B65="","",VLOOKUP($B65,'Start List'!$B$15:$Y$139,Z$8,FALSE))</f>
        <v/>
      </c>
      <c r="AA65" s="218" t="str">
        <f>IF($B65="","",VLOOKUP($B65,'Start List'!$B$15:$Y$139,AA$8,FALSE))</f>
        <v/>
      </c>
      <c r="AB65" s="218" t="str">
        <f>IF($B65="","",VLOOKUP($B65,'Start List'!$B$15:$Y$139,AB$8,FALSE))</f>
        <v/>
      </c>
    </row>
    <row r="66" spans="1:28" ht="12.75" customHeight="1" x14ac:dyDescent="0.2">
      <c r="A66" s="75" t="str">
        <f>'Start List'!A72</f>
        <v/>
      </c>
      <c r="B66" s="76" t="str">
        <f>IF(A66="","",LARGE('Start List'!$B$15:$B$139,A66))</f>
        <v/>
      </c>
      <c r="C66" s="76" t="str">
        <f t="shared" si="0"/>
        <v/>
      </c>
      <c r="D66" s="76" t="str">
        <f t="shared" si="1"/>
        <v/>
      </c>
      <c r="E66" s="76" t="str">
        <f t="shared" si="2"/>
        <v/>
      </c>
      <c r="F66" s="80" t="str">
        <f>IF(COUNTIF(Data!$D$2:$D$97,$C66)=0,"",VLOOKUP($C66,Data!$D$2:$H$97,F$8,FALSE))</f>
        <v/>
      </c>
      <c r="G66" s="80" t="str">
        <f>IF(COUNTIF(Data!$D$2:$D$97,$C66)=0,"",VLOOKUP($C66,Data!$D$2:$H$97,G$8,FALSE))</f>
        <v/>
      </c>
      <c r="H66" s="80" t="str">
        <f>IF(COUNTIF(Data!$D$2:$D$97,$C66)=0,"",VLOOKUP($C66,Data!$D$2:$H$97,H$8,FALSE))</f>
        <v/>
      </c>
      <c r="I66" s="80" t="str">
        <f>IF(COUNTIF(Data!$D$2:$D$97,$C66)=0,"",VLOOKUP($C66,Data!$D$2:$H$97,I$8,FALSE))</f>
        <v/>
      </c>
      <c r="J66" s="77" t="str">
        <f>IF(A66="","",VLOOKUP($B66,'Start List'!$B$15:$Y$139,J$8,FALSE))</f>
        <v/>
      </c>
      <c r="K66" s="77" t="str">
        <f>IF(B66="","",VLOOKUP($B66,'Start List'!$B$15:$Y$139,K$8,FALSE))</f>
        <v/>
      </c>
      <c r="L66" s="77" t="str">
        <f>IF(J66="","",VLOOKUP($B66,'Start List'!$B$15:$Y$139,L$8,FALSE))</f>
        <v/>
      </c>
      <c r="M66" s="79" t="str">
        <f>IF(K66="","",VLOOKUP($B66,'Start List'!$B$15:$Y$139,M$8,FALSE))</f>
        <v/>
      </c>
      <c r="N66" s="150" t="str">
        <f>IF($B66="","",VLOOKUP($B66,'Start List'!$B$15:$Y$139,N$8,FALSE))</f>
        <v/>
      </c>
      <c r="O66" s="80" t="str">
        <f>IF($B66="","",VLOOKUP($B66,'Start List'!$B$15:$Y$139,O$8,FALSE))</f>
        <v/>
      </c>
      <c r="P66" s="80" t="str">
        <f>IF($B66="","",VLOOKUP($B66,'Start List'!$B$15:$Y$139,P$8,FALSE))</f>
        <v/>
      </c>
      <c r="Q66" s="150" t="str">
        <f>IF($B66="","",VLOOKUP($B66,'Start List'!$B$15:$Y$139,Q$8,FALSE))</f>
        <v/>
      </c>
      <c r="R66" s="80" t="str">
        <f>IF($B66="","",VLOOKUP($B66,'Start List'!$B$15:$Y$139,R$8,FALSE))</f>
        <v/>
      </c>
      <c r="S66" s="150" t="str">
        <f>IF($B66="","",VLOOKUP($B66,'Start List'!$B$15:$Y$139,S$8,FALSE))</f>
        <v/>
      </c>
      <c r="T66" s="150" t="str">
        <f>IF($B66="","",VLOOKUP($B66,'Start List'!$B$15:$Y$139,T$8,FALSE))</f>
        <v/>
      </c>
      <c r="U66" s="80" t="str">
        <f>IF($B66="","",VLOOKUP($B66,'Start List'!$B$15:$Y$139,U$8,FALSE))</f>
        <v/>
      </c>
      <c r="V66" s="80" t="str">
        <f>IF($B66="","",VLOOKUP($B66,'Start List'!$B$15:$Y$139,V$8,FALSE))</f>
        <v/>
      </c>
      <c r="W66" s="150" t="str">
        <f>IF($B66="","",VLOOKUP($B66,'Start List'!$B$15:$Y$139,W$8,FALSE))</f>
        <v/>
      </c>
      <c r="X66" s="80" t="str">
        <f>IF($B66="","",VLOOKUP($B66,'Start List'!$B$15:$Y$139,X$8,FALSE))</f>
        <v/>
      </c>
      <c r="Y66" s="80" t="str">
        <f>IF($B66="","",VLOOKUP($B66,'Start List'!$B$15:$Y$139,Y$8,FALSE))</f>
        <v/>
      </c>
      <c r="Z66" s="217" t="str">
        <f>IF($B66="","",VLOOKUP($B66,'Start List'!$B$15:$Y$139,Z$8,FALSE))</f>
        <v/>
      </c>
      <c r="AA66" s="218" t="str">
        <f>IF($B66="","",VLOOKUP($B66,'Start List'!$B$15:$Y$139,AA$8,FALSE))</f>
        <v/>
      </c>
      <c r="AB66" s="218" t="str">
        <f>IF($B66="","",VLOOKUP($B66,'Start List'!$B$15:$Y$139,AB$8,FALSE))</f>
        <v/>
      </c>
    </row>
    <row r="67" spans="1:28" ht="12.75" customHeight="1" x14ac:dyDescent="0.2">
      <c r="A67" s="75" t="str">
        <f>'Start List'!A73</f>
        <v/>
      </c>
      <c r="B67" s="76" t="str">
        <f>IF(A67="","",LARGE('Start List'!$B$15:$B$139,A67))</f>
        <v/>
      </c>
      <c r="C67" s="76" t="str">
        <f t="shared" si="0"/>
        <v/>
      </c>
      <c r="D67" s="76" t="str">
        <f t="shared" si="1"/>
        <v/>
      </c>
      <c r="E67" s="76" t="str">
        <f t="shared" si="2"/>
        <v/>
      </c>
      <c r="F67" s="80" t="str">
        <f>IF(COUNTIF(Data!$D$2:$D$97,$C67)=0,"",VLOOKUP($C67,Data!$D$2:$H$97,F$8,FALSE))</f>
        <v/>
      </c>
      <c r="G67" s="80" t="str">
        <f>IF(COUNTIF(Data!$D$2:$D$97,$C67)=0,"",VLOOKUP($C67,Data!$D$2:$H$97,G$8,FALSE))</f>
        <v/>
      </c>
      <c r="H67" s="80" t="str">
        <f>IF(COUNTIF(Data!$D$2:$D$97,$C67)=0,"",VLOOKUP($C67,Data!$D$2:$H$97,H$8,FALSE))</f>
        <v/>
      </c>
      <c r="I67" s="80" t="str">
        <f>IF(COUNTIF(Data!$D$2:$D$97,$C67)=0,"",VLOOKUP($C67,Data!$D$2:$H$97,I$8,FALSE))</f>
        <v/>
      </c>
      <c r="J67" s="77" t="str">
        <f>IF(A67="","",VLOOKUP($B67,'Start List'!$B$15:$Y$139,J$8,FALSE))</f>
        <v/>
      </c>
      <c r="K67" s="77" t="str">
        <f>IF(B67="","",VLOOKUP($B67,'Start List'!$B$15:$Y$139,K$8,FALSE))</f>
        <v/>
      </c>
      <c r="L67" s="77" t="str">
        <f>IF(J67="","",VLOOKUP($B67,'Start List'!$B$15:$Y$139,L$8,FALSE))</f>
        <v/>
      </c>
      <c r="M67" s="79" t="str">
        <f>IF(K67="","",VLOOKUP($B67,'Start List'!$B$15:$Y$139,M$8,FALSE))</f>
        <v/>
      </c>
      <c r="N67" s="150" t="str">
        <f>IF($B67="","",VLOOKUP($B67,'Start List'!$B$15:$Y$139,N$8,FALSE))</f>
        <v/>
      </c>
      <c r="O67" s="80" t="str">
        <f>IF($B67="","",VLOOKUP($B67,'Start List'!$B$15:$Y$139,O$8,FALSE))</f>
        <v/>
      </c>
      <c r="P67" s="80" t="str">
        <f>IF($B67="","",VLOOKUP($B67,'Start List'!$B$15:$Y$139,P$8,FALSE))</f>
        <v/>
      </c>
      <c r="Q67" s="150" t="str">
        <f>IF($B67="","",VLOOKUP($B67,'Start List'!$B$15:$Y$139,Q$8,FALSE))</f>
        <v/>
      </c>
      <c r="R67" s="80" t="str">
        <f>IF($B67="","",VLOOKUP($B67,'Start List'!$B$15:$Y$139,R$8,FALSE))</f>
        <v/>
      </c>
      <c r="S67" s="150" t="str">
        <f>IF($B67="","",VLOOKUP($B67,'Start List'!$B$15:$Y$139,S$8,FALSE))</f>
        <v/>
      </c>
      <c r="T67" s="150" t="str">
        <f>IF($B67="","",VLOOKUP($B67,'Start List'!$B$15:$Y$139,T$8,FALSE))</f>
        <v/>
      </c>
      <c r="U67" s="80" t="str">
        <f>IF($B67="","",VLOOKUP($B67,'Start List'!$B$15:$Y$139,U$8,FALSE))</f>
        <v/>
      </c>
      <c r="V67" s="80" t="str">
        <f>IF($B67="","",VLOOKUP($B67,'Start List'!$B$15:$Y$139,V$8,FALSE))</f>
        <v/>
      </c>
      <c r="W67" s="150" t="str">
        <f>IF($B67="","",VLOOKUP($B67,'Start List'!$B$15:$Y$139,W$8,FALSE))</f>
        <v/>
      </c>
      <c r="X67" s="80" t="str">
        <f>IF($B67="","",VLOOKUP($B67,'Start List'!$B$15:$Y$139,X$8,FALSE))</f>
        <v/>
      </c>
      <c r="Y67" s="80" t="str">
        <f>IF($B67="","",VLOOKUP($B67,'Start List'!$B$15:$Y$139,Y$8,FALSE))</f>
        <v/>
      </c>
      <c r="Z67" s="217" t="str">
        <f>IF($B67="","",VLOOKUP($B67,'Start List'!$B$15:$Y$139,Z$8,FALSE))</f>
        <v/>
      </c>
      <c r="AA67" s="218" t="str">
        <f>IF($B67="","",VLOOKUP($B67,'Start List'!$B$15:$Y$139,AA$8,FALSE))</f>
        <v/>
      </c>
      <c r="AB67" s="218" t="str">
        <f>IF($B67="","",VLOOKUP($B67,'Start List'!$B$15:$Y$139,AB$8,FALSE))</f>
        <v/>
      </c>
    </row>
    <row r="68" spans="1:28" ht="12.75" customHeight="1" x14ac:dyDescent="0.2">
      <c r="A68" s="75" t="str">
        <f>'Start List'!A74</f>
        <v/>
      </c>
      <c r="B68" s="76" t="str">
        <f>IF(A68="","",LARGE('Start List'!$B$15:$B$139,A68))</f>
        <v/>
      </c>
      <c r="C68" s="76" t="str">
        <f t="shared" si="0"/>
        <v/>
      </c>
      <c r="D68" s="76" t="str">
        <f t="shared" si="1"/>
        <v/>
      </c>
      <c r="E68" s="76" t="str">
        <f t="shared" si="2"/>
        <v/>
      </c>
      <c r="F68" s="80" t="str">
        <f>IF(COUNTIF(Data!$D$2:$D$97,$C68)=0,"",VLOOKUP($C68,Data!$D$2:$H$97,F$8,FALSE))</f>
        <v/>
      </c>
      <c r="G68" s="80" t="str">
        <f>IF(COUNTIF(Data!$D$2:$D$97,$C68)=0,"",VLOOKUP($C68,Data!$D$2:$H$97,G$8,FALSE))</f>
        <v/>
      </c>
      <c r="H68" s="80" t="str">
        <f>IF(COUNTIF(Data!$D$2:$D$97,$C68)=0,"",VLOOKUP($C68,Data!$D$2:$H$97,H$8,FALSE))</f>
        <v/>
      </c>
      <c r="I68" s="80" t="str">
        <f>IF(COUNTIF(Data!$D$2:$D$97,$C68)=0,"",VLOOKUP($C68,Data!$D$2:$H$97,I$8,FALSE))</f>
        <v/>
      </c>
      <c r="J68" s="77" t="str">
        <f>IF(A68="","",VLOOKUP($B68,'Start List'!$B$15:$Y$139,J$8,FALSE))</f>
        <v/>
      </c>
      <c r="K68" s="77" t="str">
        <f>IF(B68="","",VLOOKUP($B68,'Start List'!$B$15:$Y$139,K$8,FALSE))</f>
        <v/>
      </c>
      <c r="L68" s="77" t="str">
        <f>IF(J68="","",VLOOKUP($B68,'Start List'!$B$15:$Y$139,L$8,FALSE))</f>
        <v/>
      </c>
      <c r="M68" s="79" t="str">
        <f>IF(K68="","",VLOOKUP($B68,'Start List'!$B$15:$Y$139,M$8,FALSE))</f>
        <v/>
      </c>
      <c r="N68" s="150" t="str">
        <f>IF($B68="","",VLOOKUP($B68,'Start List'!$B$15:$Y$139,N$8,FALSE))</f>
        <v/>
      </c>
      <c r="O68" s="80" t="str">
        <f>IF($B68="","",VLOOKUP($B68,'Start List'!$B$15:$Y$139,O$8,FALSE))</f>
        <v/>
      </c>
      <c r="P68" s="80" t="str">
        <f>IF($B68="","",VLOOKUP($B68,'Start List'!$B$15:$Y$139,P$8,FALSE))</f>
        <v/>
      </c>
      <c r="Q68" s="150" t="str">
        <f>IF($B68="","",VLOOKUP($B68,'Start List'!$B$15:$Y$139,Q$8,FALSE))</f>
        <v/>
      </c>
      <c r="R68" s="80" t="str">
        <f>IF($B68="","",VLOOKUP($B68,'Start List'!$B$15:$Y$139,R$8,FALSE))</f>
        <v/>
      </c>
      <c r="S68" s="150" t="str">
        <f>IF($B68="","",VLOOKUP($B68,'Start List'!$B$15:$Y$139,S$8,FALSE))</f>
        <v/>
      </c>
      <c r="T68" s="150" t="str">
        <f>IF($B68="","",VLOOKUP($B68,'Start List'!$B$15:$Y$139,T$8,FALSE))</f>
        <v/>
      </c>
      <c r="U68" s="80" t="str">
        <f>IF($B68="","",VLOOKUP($B68,'Start List'!$B$15:$Y$139,U$8,FALSE))</f>
        <v/>
      </c>
      <c r="V68" s="80" t="str">
        <f>IF($B68="","",VLOOKUP($B68,'Start List'!$B$15:$Y$139,V$8,FALSE))</f>
        <v/>
      </c>
      <c r="W68" s="150" t="str">
        <f>IF($B68="","",VLOOKUP($B68,'Start List'!$B$15:$Y$139,W$8,FALSE))</f>
        <v/>
      </c>
      <c r="X68" s="80" t="str">
        <f>IF($B68="","",VLOOKUP($B68,'Start List'!$B$15:$Y$139,X$8,FALSE))</f>
        <v/>
      </c>
      <c r="Y68" s="80" t="str">
        <f>IF($B68="","",VLOOKUP($B68,'Start List'!$B$15:$Y$139,Y$8,FALSE))</f>
        <v/>
      </c>
      <c r="Z68" s="217" t="str">
        <f>IF($B68="","",VLOOKUP($B68,'Start List'!$B$15:$Y$139,Z$8,FALSE))</f>
        <v/>
      </c>
      <c r="AA68" s="218" t="str">
        <f>IF($B68="","",VLOOKUP($B68,'Start List'!$B$15:$Y$139,AA$8,FALSE))</f>
        <v/>
      </c>
      <c r="AB68" s="218" t="str">
        <f>IF($B68="","",VLOOKUP($B68,'Start List'!$B$15:$Y$139,AB$8,FALSE))</f>
        <v/>
      </c>
    </row>
    <row r="69" spans="1:28" ht="12.75" customHeight="1" x14ac:dyDescent="0.2">
      <c r="A69" s="75" t="str">
        <f>'Start List'!A75</f>
        <v/>
      </c>
      <c r="B69" s="76" t="str">
        <f>IF(A69="","",LARGE('Start List'!$B$15:$B$139,A69))</f>
        <v/>
      </c>
      <c r="C69" s="76" t="str">
        <f t="shared" si="0"/>
        <v/>
      </c>
      <c r="D69" s="76" t="str">
        <f t="shared" si="1"/>
        <v/>
      </c>
      <c r="E69" s="76" t="str">
        <f t="shared" si="2"/>
        <v/>
      </c>
      <c r="F69" s="80" t="str">
        <f>IF(COUNTIF(Data!$D$2:$D$97,$C69)=0,"",VLOOKUP($C69,Data!$D$2:$H$97,F$8,FALSE))</f>
        <v/>
      </c>
      <c r="G69" s="80" t="str">
        <f>IF(COUNTIF(Data!$D$2:$D$97,$C69)=0,"",VLOOKUP($C69,Data!$D$2:$H$97,G$8,FALSE))</f>
        <v/>
      </c>
      <c r="H69" s="80" t="str">
        <f>IF(COUNTIF(Data!$D$2:$D$97,$C69)=0,"",VLOOKUP($C69,Data!$D$2:$H$97,H$8,FALSE))</f>
        <v/>
      </c>
      <c r="I69" s="80" t="str">
        <f>IF(COUNTIF(Data!$D$2:$D$97,$C69)=0,"",VLOOKUP($C69,Data!$D$2:$H$97,I$8,FALSE))</f>
        <v/>
      </c>
      <c r="J69" s="77" t="str">
        <f>IF(A69="","",VLOOKUP($B69,'Start List'!$B$15:$Y$139,J$8,FALSE))</f>
        <v/>
      </c>
      <c r="K69" s="77" t="str">
        <f>IF(B69="","",VLOOKUP($B69,'Start List'!$B$15:$Y$139,K$8,FALSE))</f>
        <v/>
      </c>
      <c r="L69" s="77" t="str">
        <f>IF(J69="","",VLOOKUP($B69,'Start List'!$B$15:$Y$139,L$8,FALSE))</f>
        <v/>
      </c>
      <c r="M69" s="79" t="str">
        <f>IF(K69="","",VLOOKUP($B69,'Start List'!$B$15:$Y$139,M$8,FALSE))</f>
        <v/>
      </c>
      <c r="N69" s="150" t="str">
        <f>IF($B69="","",VLOOKUP($B69,'Start List'!$B$15:$Y$139,N$8,FALSE))</f>
        <v/>
      </c>
      <c r="O69" s="80" t="str">
        <f>IF($B69="","",VLOOKUP($B69,'Start List'!$B$15:$Y$139,O$8,FALSE))</f>
        <v/>
      </c>
      <c r="P69" s="80" t="str">
        <f>IF($B69="","",VLOOKUP($B69,'Start List'!$B$15:$Y$139,P$8,FALSE))</f>
        <v/>
      </c>
      <c r="Q69" s="150" t="str">
        <f>IF($B69="","",VLOOKUP($B69,'Start List'!$B$15:$Y$139,Q$8,FALSE))</f>
        <v/>
      </c>
      <c r="R69" s="80" t="str">
        <f>IF($B69="","",VLOOKUP($B69,'Start List'!$B$15:$Y$139,R$8,FALSE))</f>
        <v/>
      </c>
      <c r="S69" s="150" t="str">
        <f>IF($B69="","",VLOOKUP($B69,'Start List'!$B$15:$Y$139,S$8,FALSE))</f>
        <v/>
      </c>
      <c r="T69" s="150" t="str">
        <f>IF($B69="","",VLOOKUP($B69,'Start List'!$B$15:$Y$139,T$8,FALSE))</f>
        <v/>
      </c>
      <c r="U69" s="80" t="str">
        <f>IF($B69="","",VLOOKUP($B69,'Start List'!$B$15:$Y$139,U$8,FALSE))</f>
        <v/>
      </c>
      <c r="V69" s="80" t="str">
        <f>IF($B69="","",VLOOKUP($B69,'Start List'!$B$15:$Y$139,V$8,FALSE))</f>
        <v/>
      </c>
      <c r="W69" s="150" t="str">
        <f>IF($B69="","",VLOOKUP($B69,'Start List'!$B$15:$Y$139,W$8,FALSE))</f>
        <v/>
      </c>
      <c r="X69" s="80" t="str">
        <f>IF($B69="","",VLOOKUP($B69,'Start List'!$B$15:$Y$139,X$8,FALSE))</f>
        <v/>
      </c>
      <c r="Y69" s="80" t="str">
        <f>IF($B69="","",VLOOKUP($B69,'Start List'!$B$15:$Y$139,Y$8,FALSE))</f>
        <v/>
      </c>
      <c r="Z69" s="217" t="str">
        <f>IF($B69="","",VLOOKUP($B69,'Start List'!$B$15:$Y$139,Z$8,FALSE))</f>
        <v/>
      </c>
      <c r="AA69" s="218" t="str">
        <f>IF($B69="","",VLOOKUP($B69,'Start List'!$B$15:$Y$139,AA$8,FALSE))</f>
        <v/>
      </c>
      <c r="AB69" s="218" t="str">
        <f>IF($B69="","",VLOOKUP($B69,'Start List'!$B$15:$Y$139,AB$8,FALSE))</f>
        <v/>
      </c>
    </row>
    <row r="70" spans="1:28" ht="12.75" customHeight="1" x14ac:dyDescent="0.2">
      <c r="A70" s="75" t="str">
        <f>'Start List'!A76</f>
        <v/>
      </c>
      <c r="B70" s="76" t="str">
        <f>IF(A70="","",LARGE('Start List'!$B$15:$B$139,A70))</f>
        <v/>
      </c>
      <c r="C70" s="76" t="str">
        <f t="shared" si="0"/>
        <v/>
      </c>
      <c r="D70" s="76" t="str">
        <f t="shared" si="1"/>
        <v/>
      </c>
      <c r="E70" s="76" t="str">
        <f t="shared" si="2"/>
        <v/>
      </c>
      <c r="F70" s="80" t="str">
        <f>IF(COUNTIF(Data!$D$2:$D$97,$C70)=0,"",VLOOKUP($C70,Data!$D$2:$H$97,F$8,FALSE))</f>
        <v/>
      </c>
      <c r="G70" s="80" t="str">
        <f>IF(COUNTIF(Data!$D$2:$D$97,$C70)=0,"",VLOOKUP($C70,Data!$D$2:$H$97,G$8,FALSE))</f>
        <v/>
      </c>
      <c r="H70" s="80" t="str">
        <f>IF(COUNTIF(Data!$D$2:$D$97,$C70)=0,"",VLOOKUP($C70,Data!$D$2:$H$97,H$8,FALSE))</f>
        <v/>
      </c>
      <c r="I70" s="80" t="str">
        <f>IF(COUNTIF(Data!$D$2:$D$97,$C70)=0,"",VLOOKUP($C70,Data!$D$2:$H$97,I$8,FALSE))</f>
        <v/>
      </c>
      <c r="J70" s="77" t="str">
        <f>IF(A70="","",VLOOKUP($B70,'Start List'!$B$15:$Y$139,J$8,FALSE))</f>
        <v/>
      </c>
      <c r="K70" s="77" t="str">
        <f>IF(B70="","",VLOOKUP($B70,'Start List'!$B$15:$Y$139,K$8,FALSE))</f>
        <v/>
      </c>
      <c r="L70" s="77" t="str">
        <f>IF(J70="","",VLOOKUP($B70,'Start List'!$B$15:$Y$139,L$8,FALSE))</f>
        <v/>
      </c>
      <c r="M70" s="79" t="str">
        <f>IF(K70="","",VLOOKUP($B70,'Start List'!$B$15:$Y$139,M$8,FALSE))</f>
        <v/>
      </c>
      <c r="N70" s="150" t="str">
        <f>IF($B70="","",VLOOKUP($B70,'Start List'!$B$15:$Y$139,N$8,FALSE))</f>
        <v/>
      </c>
      <c r="O70" s="80" t="str">
        <f>IF($B70="","",VLOOKUP($B70,'Start List'!$B$15:$Y$139,O$8,FALSE))</f>
        <v/>
      </c>
      <c r="P70" s="80" t="str">
        <f>IF($B70="","",VLOOKUP($B70,'Start List'!$B$15:$Y$139,P$8,FALSE))</f>
        <v/>
      </c>
      <c r="Q70" s="150" t="str">
        <f>IF($B70="","",VLOOKUP($B70,'Start List'!$B$15:$Y$139,Q$8,FALSE))</f>
        <v/>
      </c>
      <c r="R70" s="80" t="str">
        <f>IF($B70="","",VLOOKUP($B70,'Start List'!$B$15:$Y$139,R$8,FALSE))</f>
        <v/>
      </c>
      <c r="S70" s="150" t="str">
        <f>IF($B70="","",VLOOKUP($B70,'Start List'!$B$15:$Y$139,S$8,FALSE))</f>
        <v/>
      </c>
      <c r="T70" s="150" t="str">
        <f>IF($B70="","",VLOOKUP($B70,'Start List'!$B$15:$Y$139,T$8,FALSE))</f>
        <v/>
      </c>
      <c r="U70" s="80" t="str">
        <f>IF($B70="","",VLOOKUP($B70,'Start List'!$B$15:$Y$139,U$8,FALSE))</f>
        <v/>
      </c>
      <c r="V70" s="80" t="str">
        <f>IF($B70="","",VLOOKUP($B70,'Start List'!$B$15:$Y$139,V$8,FALSE))</f>
        <v/>
      </c>
      <c r="W70" s="150" t="str">
        <f>IF($B70="","",VLOOKUP($B70,'Start List'!$B$15:$Y$139,W$8,FALSE))</f>
        <v/>
      </c>
      <c r="X70" s="80" t="str">
        <f>IF($B70="","",VLOOKUP($B70,'Start List'!$B$15:$Y$139,X$8,FALSE))</f>
        <v/>
      </c>
      <c r="Y70" s="80" t="str">
        <f>IF($B70="","",VLOOKUP($B70,'Start List'!$B$15:$Y$139,Y$8,FALSE))</f>
        <v/>
      </c>
      <c r="Z70" s="217" t="str">
        <f>IF($B70="","",VLOOKUP($B70,'Start List'!$B$15:$Y$139,Z$8,FALSE))</f>
        <v/>
      </c>
      <c r="AA70" s="218" t="str">
        <f>IF($B70="","",VLOOKUP($B70,'Start List'!$B$15:$Y$139,AA$8,FALSE))</f>
        <v/>
      </c>
      <c r="AB70" s="218" t="str">
        <f>IF($B70="","",VLOOKUP($B70,'Start List'!$B$15:$Y$139,AB$8,FALSE))</f>
        <v/>
      </c>
    </row>
    <row r="71" spans="1:28" ht="12.75" customHeight="1" x14ac:dyDescent="0.2">
      <c r="A71" s="75" t="str">
        <f>'Start List'!A77</f>
        <v/>
      </c>
      <c r="B71" s="76" t="str">
        <f>IF(A71="","",LARGE('Start List'!$B$15:$B$139,A71))</f>
        <v/>
      </c>
      <c r="C71" s="76" t="str">
        <f t="shared" si="0"/>
        <v/>
      </c>
      <c r="D71" s="76" t="str">
        <f t="shared" si="1"/>
        <v/>
      </c>
      <c r="E71" s="76" t="str">
        <f t="shared" si="2"/>
        <v/>
      </c>
      <c r="F71" s="80" t="str">
        <f>IF(COUNTIF(Data!$D$2:$D$97,$C71)=0,"",VLOOKUP($C71,Data!$D$2:$H$97,F$8,FALSE))</f>
        <v/>
      </c>
      <c r="G71" s="80" t="str">
        <f>IF(COUNTIF(Data!$D$2:$D$97,$C71)=0,"",VLOOKUP($C71,Data!$D$2:$H$97,G$8,FALSE))</f>
        <v/>
      </c>
      <c r="H71" s="80" t="str">
        <f>IF(COUNTIF(Data!$D$2:$D$97,$C71)=0,"",VLOOKUP($C71,Data!$D$2:$H$97,H$8,FALSE))</f>
        <v/>
      </c>
      <c r="I71" s="80" t="str">
        <f>IF(COUNTIF(Data!$D$2:$D$97,$C71)=0,"",VLOOKUP($C71,Data!$D$2:$H$97,I$8,FALSE))</f>
        <v/>
      </c>
      <c r="J71" s="77" t="str">
        <f>IF(A71="","",VLOOKUP($B71,'Start List'!$B$15:$Y$139,J$8,FALSE))</f>
        <v/>
      </c>
      <c r="K71" s="77" t="str">
        <f>IF(B71="","",VLOOKUP($B71,'Start List'!$B$15:$Y$139,K$8,FALSE))</f>
        <v/>
      </c>
      <c r="L71" s="77" t="str">
        <f>IF(J71="","",VLOOKUP($B71,'Start List'!$B$15:$Y$139,L$8,FALSE))</f>
        <v/>
      </c>
      <c r="M71" s="79" t="str">
        <f>IF(K71="","",VLOOKUP($B71,'Start List'!$B$15:$Y$139,M$8,FALSE))</f>
        <v/>
      </c>
      <c r="N71" s="150" t="str">
        <f>IF($B71="","",VLOOKUP($B71,'Start List'!$B$15:$Y$139,N$8,FALSE))</f>
        <v/>
      </c>
      <c r="O71" s="80" t="str">
        <f>IF($B71="","",VLOOKUP($B71,'Start List'!$B$15:$Y$139,O$8,FALSE))</f>
        <v/>
      </c>
      <c r="P71" s="80" t="str">
        <f>IF($B71="","",VLOOKUP($B71,'Start List'!$B$15:$Y$139,P$8,FALSE))</f>
        <v/>
      </c>
      <c r="Q71" s="150" t="str">
        <f>IF($B71="","",VLOOKUP($B71,'Start List'!$B$15:$Y$139,Q$8,FALSE))</f>
        <v/>
      </c>
      <c r="R71" s="80" t="str">
        <f>IF($B71="","",VLOOKUP($B71,'Start List'!$B$15:$Y$139,R$8,FALSE))</f>
        <v/>
      </c>
      <c r="S71" s="150" t="str">
        <f>IF($B71="","",VLOOKUP($B71,'Start List'!$B$15:$Y$139,S$8,FALSE))</f>
        <v/>
      </c>
      <c r="T71" s="150" t="str">
        <f>IF($B71="","",VLOOKUP($B71,'Start List'!$B$15:$Y$139,T$8,FALSE))</f>
        <v/>
      </c>
      <c r="U71" s="80" t="str">
        <f>IF($B71="","",VLOOKUP($B71,'Start List'!$B$15:$Y$139,U$8,FALSE))</f>
        <v/>
      </c>
      <c r="V71" s="80" t="str">
        <f>IF($B71="","",VLOOKUP($B71,'Start List'!$B$15:$Y$139,V$8,FALSE))</f>
        <v/>
      </c>
      <c r="W71" s="150" t="str">
        <f>IF($B71="","",VLOOKUP($B71,'Start List'!$B$15:$Y$139,W$8,FALSE))</f>
        <v/>
      </c>
      <c r="X71" s="80" t="str">
        <f>IF($B71="","",VLOOKUP($B71,'Start List'!$B$15:$Y$139,X$8,FALSE))</f>
        <v/>
      </c>
      <c r="Y71" s="80" t="str">
        <f>IF($B71="","",VLOOKUP($B71,'Start List'!$B$15:$Y$139,Y$8,FALSE))</f>
        <v/>
      </c>
      <c r="Z71" s="217" t="str">
        <f>IF($B71="","",VLOOKUP($B71,'Start List'!$B$15:$Y$139,Z$8,FALSE))</f>
        <v/>
      </c>
      <c r="AA71" s="218" t="str">
        <f>IF($B71="","",VLOOKUP($B71,'Start List'!$B$15:$Y$139,AA$8,FALSE))</f>
        <v/>
      </c>
      <c r="AB71" s="218" t="str">
        <f>IF($B71="","",VLOOKUP($B71,'Start List'!$B$15:$Y$139,AB$8,FALSE))</f>
        <v/>
      </c>
    </row>
    <row r="72" spans="1:28" ht="12.75" customHeight="1" x14ac:dyDescent="0.2">
      <c r="A72" s="75" t="str">
        <f>'Start List'!A78</f>
        <v/>
      </c>
      <c r="B72" s="76" t="str">
        <f>IF(A72="","",LARGE('Start List'!$B$15:$B$139,A72))</f>
        <v/>
      </c>
      <c r="C72" s="76" t="str">
        <f t="shared" si="0"/>
        <v/>
      </c>
      <c r="D72" s="76" t="str">
        <f t="shared" si="1"/>
        <v/>
      </c>
      <c r="E72" s="76" t="str">
        <f t="shared" si="2"/>
        <v/>
      </c>
      <c r="F72" s="80" t="str">
        <f>IF(COUNTIF(Data!$D$2:$D$97,$C72)=0,"",VLOOKUP($C72,Data!$D$2:$H$97,F$8,FALSE))</f>
        <v/>
      </c>
      <c r="G72" s="80" t="str">
        <f>IF(COUNTIF(Data!$D$2:$D$97,$C72)=0,"",VLOOKUP($C72,Data!$D$2:$H$97,G$8,FALSE))</f>
        <v/>
      </c>
      <c r="H72" s="80" t="str">
        <f>IF(COUNTIF(Data!$D$2:$D$97,$C72)=0,"",VLOOKUP($C72,Data!$D$2:$H$97,H$8,FALSE))</f>
        <v/>
      </c>
      <c r="I72" s="80" t="str">
        <f>IF(COUNTIF(Data!$D$2:$D$97,$C72)=0,"",VLOOKUP($C72,Data!$D$2:$H$97,I$8,FALSE))</f>
        <v/>
      </c>
      <c r="J72" s="77" t="str">
        <f>IF(A72="","",VLOOKUP($B72,'Start List'!$B$15:$Y$139,J$8,FALSE))</f>
        <v/>
      </c>
      <c r="K72" s="77" t="str">
        <f>IF(B72="","",VLOOKUP($B72,'Start List'!$B$15:$Y$139,K$8,FALSE))</f>
        <v/>
      </c>
      <c r="L72" s="77" t="str">
        <f>IF(J72="","",VLOOKUP($B72,'Start List'!$B$15:$Y$139,L$8,FALSE))</f>
        <v/>
      </c>
      <c r="M72" s="79" t="str">
        <f>IF(K72="","",VLOOKUP($B72,'Start List'!$B$15:$Y$139,M$8,FALSE))</f>
        <v/>
      </c>
      <c r="N72" s="150" t="str">
        <f>IF($B72="","",VLOOKUP($B72,'Start List'!$B$15:$Y$139,N$8,FALSE))</f>
        <v/>
      </c>
      <c r="O72" s="80" t="str">
        <f>IF($B72="","",VLOOKUP($B72,'Start List'!$B$15:$Y$139,O$8,FALSE))</f>
        <v/>
      </c>
      <c r="P72" s="80" t="str">
        <f>IF($B72="","",VLOOKUP($B72,'Start List'!$B$15:$Y$139,P$8,FALSE))</f>
        <v/>
      </c>
      <c r="Q72" s="150" t="str">
        <f>IF($B72="","",VLOOKUP($B72,'Start List'!$B$15:$Y$139,Q$8,FALSE))</f>
        <v/>
      </c>
      <c r="R72" s="80" t="str">
        <f>IF($B72="","",VLOOKUP($B72,'Start List'!$B$15:$Y$139,R$8,FALSE))</f>
        <v/>
      </c>
      <c r="S72" s="150" t="str">
        <f>IF($B72="","",VLOOKUP($B72,'Start List'!$B$15:$Y$139,S$8,FALSE))</f>
        <v/>
      </c>
      <c r="T72" s="150" t="str">
        <f>IF($B72="","",VLOOKUP($B72,'Start List'!$B$15:$Y$139,T$8,FALSE))</f>
        <v/>
      </c>
      <c r="U72" s="80" t="str">
        <f>IF($B72="","",VLOOKUP($B72,'Start List'!$B$15:$Y$139,U$8,FALSE))</f>
        <v/>
      </c>
      <c r="V72" s="80" t="str">
        <f>IF($B72="","",VLOOKUP($B72,'Start List'!$B$15:$Y$139,V$8,FALSE))</f>
        <v/>
      </c>
      <c r="W72" s="150" t="str">
        <f>IF($B72="","",VLOOKUP($B72,'Start List'!$B$15:$Y$139,W$8,FALSE))</f>
        <v/>
      </c>
      <c r="X72" s="80" t="str">
        <f>IF($B72="","",VLOOKUP($B72,'Start List'!$B$15:$Y$139,X$8,FALSE))</f>
        <v/>
      </c>
      <c r="Y72" s="80" t="str">
        <f>IF($B72="","",VLOOKUP($B72,'Start List'!$B$15:$Y$139,Y$8,FALSE))</f>
        <v/>
      </c>
      <c r="Z72" s="217" t="str">
        <f>IF($B72="","",VLOOKUP($B72,'Start List'!$B$15:$Y$139,Z$8,FALSE))</f>
        <v/>
      </c>
      <c r="AA72" s="218" t="str">
        <f>IF($B72="","",VLOOKUP($B72,'Start List'!$B$15:$Y$139,AA$8,FALSE))</f>
        <v/>
      </c>
      <c r="AB72" s="218" t="str">
        <f>IF($B72="","",VLOOKUP($B72,'Start List'!$B$15:$Y$139,AB$8,FALSE))</f>
        <v/>
      </c>
    </row>
    <row r="73" spans="1:28" ht="12.75" customHeight="1" x14ac:dyDescent="0.2">
      <c r="A73" s="75" t="str">
        <f>'Start List'!A79</f>
        <v/>
      </c>
      <c r="B73" s="76" t="str">
        <f>IF(A73="","",LARGE('Start List'!$B$15:$B$139,A73))</f>
        <v/>
      </c>
      <c r="C73" s="76" t="str">
        <f t="shared" si="0"/>
        <v/>
      </c>
      <c r="D73" s="76" t="str">
        <f t="shared" si="1"/>
        <v/>
      </c>
      <c r="E73" s="76" t="str">
        <f t="shared" si="2"/>
        <v/>
      </c>
      <c r="F73" s="80" t="str">
        <f>IF(COUNTIF(Data!$D$2:$D$97,$C73)=0,"",VLOOKUP($C73,Data!$D$2:$H$97,F$8,FALSE))</f>
        <v/>
      </c>
      <c r="G73" s="80" t="str">
        <f>IF(COUNTIF(Data!$D$2:$D$97,$C73)=0,"",VLOOKUP($C73,Data!$D$2:$H$97,G$8,FALSE))</f>
        <v/>
      </c>
      <c r="H73" s="80" t="str">
        <f>IF(COUNTIF(Data!$D$2:$D$97,$C73)=0,"",VLOOKUP($C73,Data!$D$2:$H$97,H$8,FALSE))</f>
        <v/>
      </c>
      <c r="I73" s="80" t="str">
        <f>IF(COUNTIF(Data!$D$2:$D$97,$C73)=0,"",VLOOKUP($C73,Data!$D$2:$H$97,I$8,FALSE))</f>
        <v/>
      </c>
      <c r="J73" s="77" t="str">
        <f>IF(A73="","",VLOOKUP($B73,'Start List'!$B$15:$Y$139,J$8,FALSE))</f>
        <v/>
      </c>
      <c r="K73" s="77" t="str">
        <f>IF(B73="","",VLOOKUP($B73,'Start List'!$B$15:$Y$139,K$8,FALSE))</f>
        <v/>
      </c>
      <c r="L73" s="77" t="str">
        <f>IF(J73="","",VLOOKUP($B73,'Start List'!$B$15:$Y$139,L$8,FALSE))</f>
        <v/>
      </c>
      <c r="M73" s="79" t="str">
        <f>IF(K73="","",VLOOKUP($B73,'Start List'!$B$15:$Y$139,M$8,FALSE))</f>
        <v/>
      </c>
      <c r="N73" s="150" t="str">
        <f>IF($B73="","",VLOOKUP($B73,'Start List'!$B$15:$Y$139,N$8,FALSE))</f>
        <v/>
      </c>
      <c r="O73" s="80" t="str">
        <f>IF($B73="","",VLOOKUP($B73,'Start List'!$B$15:$Y$139,O$8,FALSE))</f>
        <v/>
      </c>
      <c r="P73" s="80" t="str">
        <f>IF($B73="","",VLOOKUP($B73,'Start List'!$B$15:$Y$139,P$8,FALSE))</f>
        <v/>
      </c>
      <c r="Q73" s="150" t="str">
        <f>IF($B73="","",VLOOKUP($B73,'Start List'!$B$15:$Y$139,Q$8,FALSE))</f>
        <v/>
      </c>
      <c r="R73" s="80" t="str">
        <f>IF($B73="","",VLOOKUP($B73,'Start List'!$B$15:$Y$139,R$8,FALSE))</f>
        <v/>
      </c>
      <c r="S73" s="150" t="str">
        <f>IF($B73="","",VLOOKUP($B73,'Start List'!$B$15:$Y$139,S$8,FALSE))</f>
        <v/>
      </c>
      <c r="T73" s="150" t="str">
        <f>IF($B73="","",VLOOKUP($B73,'Start List'!$B$15:$Y$139,T$8,FALSE))</f>
        <v/>
      </c>
      <c r="U73" s="80" t="str">
        <f>IF($B73="","",VLOOKUP($B73,'Start List'!$B$15:$Y$139,U$8,FALSE))</f>
        <v/>
      </c>
      <c r="V73" s="80" t="str">
        <f>IF($B73="","",VLOOKUP($B73,'Start List'!$B$15:$Y$139,V$8,FALSE))</f>
        <v/>
      </c>
      <c r="W73" s="150" t="str">
        <f>IF($B73="","",VLOOKUP($B73,'Start List'!$B$15:$Y$139,W$8,FALSE))</f>
        <v/>
      </c>
      <c r="X73" s="80" t="str">
        <f>IF($B73="","",VLOOKUP($B73,'Start List'!$B$15:$Y$139,X$8,FALSE))</f>
        <v/>
      </c>
      <c r="Y73" s="80" t="str">
        <f>IF($B73="","",VLOOKUP($B73,'Start List'!$B$15:$Y$139,Y$8,FALSE))</f>
        <v/>
      </c>
      <c r="Z73" s="217" t="str">
        <f>IF($B73="","",VLOOKUP($B73,'Start List'!$B$15:$Y$139,Z$8,FALSE))</f>
        <v/>
      </c>
      <c r="AA73" s="218" t="str">
        <f>IF($B73="","",VLOOKUP($B73,'Start List'!$B$15:$Y$139,AA$8,FALSE))</f>
        <v/>
      </c>
      <c r="AB73" s="218" t="str">
        <f>IF($B73="","",VLOOKUP($B73,'Start List'!$B$15:$Y$139,AB$8,FALSE))</f>
        <v/>
      </c>
    </row>
    <row r="74" spans="1:28" ht="12.75" customHeight="1" x14ac:dyDescent="0.2">
      <c r="A74" s="75" t="str">
        <f>'Start List'!A80</f>
        <v/>
      </c>
      <c r="B74" s="76" t="str">
        <f>IF(A74="","",LARGE('Start List'!$B$15:$B$139,A74))</f>
        <v/>
      </c>
      <c r="C74" s="76" t="str">
        <f t="shared" ref="C74:C114" si="3">IF($A74="","","M"&amp;$A74)</f>
        <v/>
      </c>
      <c r="D74" s="76" t="str">
        <f t="shared" ref="D74:D114" si="4">B74</f>
        <v/>
      </c>
      <c r="E74" s="76" t="str">
        <f t="shared" ref="E74:E114" si="5">IF($A74="","","A"&amp;$A74)</f>
        <v/>
      </c>
      <c r="F74" s="80" t="str">
        <f>IF(COUNTIF(Data!$D$2:$D$97,$C74)=0,"",VLOOKUP($C74,Data!$D$2:$H$97,F$8,FALSE))</f>
        <v/>
      </c>
      <c r="G74" s="80" t="str">
        <f>IF(COUNTIF(Data!$D$2:$D$97,$C74)=0,"",VLOOKUP($C74,Data!$D$2:$H$97,G$8,FALSE))</f>
        <v/>
      </c>
      <c r="H74" s="80" t="str">
        <f>IF(COUNTIF(Data!$D$2:$D$97,$C74)=0,"",VLOOKUP($C74,Data!$D$2:$H$97,H$8,FALSE))</f>
        <v/>
      </c>
      <c r="I74" s="80" t="str">
        <f>IF(COUNTIF(Data!$D$2:$D$97,$C74)=0,"",VLOOKUP($C74,Data!$D$2:$H$97,I$8,FALSE))</f>
        <v/>
      </c>
      <c r="J74" s="77" t="str">
        <f>IF(A74="","",VLOOKUP($B74,'Start List'!$B$15:$Y$139,J$8,FALSE))</f>
        <v/>
      </c>
      <c r="K74" s="77" t="str">
        <f>IF(B74="","",VLOOKUP($B74,'Start List'!$B$15:$Y$139,K$8,FALSE))</f>
        <v/>
      </c>
      <c r="L74" s="77" t="str">
        <f>IF(J74="","",VLOOKUP($B74,'Start List'!$B$15:$Y$139,L$8,FALSE))</f>
        <v/>
      </c>
      <c r="M74" s="79" t="str">
        <f>IF(K74="","",VLOOKUP($B74,'Start List'!$B$15:$Y$139,M$8,FALSE))</f>
        <v/>
      </c>
      <c r="N74" s="150" t="str">
        <f>IF($B74="","",VLOOKUP($B74,'Start List'!$B$15:$Y$139,N$8,FALSE))</f>
        <v/>
      </c>
      <c r="O74" s="80" t="str">
        <f>IF($B74="","",VLOOKUP($B74,'Start List'!$B$15:$Y$139,O$8,FALSE))</f>
        <v/>
      </c>
      <c r="P74" s="80" t="str">
        <f>IF($B74="","",VLOOKUP($B74,'Start List'!$B$15:$Y$139,P$8,FALSE))</f>
        <v/>
      </c>
      <c r="Q74" s="150" t="str">
        <f>IF($B74="","",VLOOKUP($B74,'Start List'!$B$15:$Y$139,Q$8,FALSE))</f>
        <v/>
      </c>
      <c r="R74" s="80" t="str">
        <f>IF($B74="","",VLOOKUP($B74,'Start List'!$B$15:$Y$139,R$8,FALSE))</f>
        <v/>
      </c>
      <c r="S74" s="150" t="str">
        <f>IF($B74="","",VLOOKUP($B74,'Start List'!$B$15:$Y$139,S$8,FALSE))</f>
        <v/>
      </c>
      <c r="T74" s="150" t="str">
        <f>IF($B74="","",VLOOKUP($B74,'Start List'!$B$15:$Y$139,T$8,FALSE))</f>
        <v/>
      </c>
      <c r="U74" s="80" t="str">
        <f>IF($B74="","",VLOOKUP($B74,'Start List'!$B$15:$Y$139,U$8,FALSE))</f>
        <v/>
      </c>
      <c r="V74" s="80" t="str">
        <f>IF($B74="","",VLOOKUP($B74,'Start List'!$B$15:$Y$139,V$8,FALSE))</f>
        <v/>
      </c>
      <c r="W74" s="150" t="str">
        <f>IF($B74="","",VLOOKUP($B74,'Start List'!$B$15:$Y$139,W$8,FALSE))</f>
        <v/>
      </c>
      <c r="X74" s="80" t="str">
        <f>IF($B74="","",VLOOKUP($B74,'Start List'!$B$15:$Y$139,X$8,FALSE))</f>
        <v/>
      </c>
      <c r="Y74" s="80" t="str">
        <f>IF($B74="","",VLOOKUP($B74,'Start List'!$B$15:$Y$139,Y$8,FALSE))</f>
        <v/>
      </c>
      <c r="Z74" s="217" t="str">
        <f>IF($B74="","",VLOOKUP($B74,'Start List'!$B$15:$Y$139,Z$8,FALSE))</f>
        <v/>
      </c>
      <c r="AA74" s="218" t="str">
        <f>IF($B74="","",VLOOKUP($B74,'Start List'!$B$15:$Y$139,AA$8,FALSE))</f>
        <v/>
      </c>
      <c r="AB74" s="218" t="str">
        <f>IF($B74="","",VLOOKUP($B74,'Start List'!$B$15:$Y$139,AB$8,FALSE))</f>
        <v/>
      </c>
    </row>
    <row r="75" spans="1:28" ht="12.75" x14ac:dyDescent="0.2">
      <c r="A75" s="75" t="str">
        <f>'Start List'!A81</f>
        <v/>
      </c>
      <c r="B75" s="76" t="str">
        <f>IF(A75="","",LARGE('Start List'!$B$15:$B$139,A75))</f>
        <v/>
      </c>
      <c r="C75" s="76" t="str">
        <f t="shared" si="3"/>
        <v/>
      </c>
      <c r="D75" s="76" t="str">
        <f t="shared" si="4"/>
        <v/>
      </c>
      <c r="E75" s="76" t="str">
        <f t="shared" si="5"/>
        <v/>
      </c>
      <c r="F75" s="80" t="str">
        <f>IF(COUNTIF(Data!$D$2:$D$97,$C75)=0,"",VLOOKUP($C75,Data!$D$2:$H$97,F$8,FALSE))</f>
        <v/>
      </c>
      <c r="G75" s="80" t="str">
        <f>IF(COUNTIF(Data!$D$2:$D$97,$C75)=0,"",VLOOKUP($C75,Data!$D$2:$H$97,G$8,FALSE))</f>
        <v/>
      </c>
      <c r="H75" s="80" t="str">
        <f>IF(COUNTIF(Data!$D$2:$D$97,$C75)=0,"",VLOOKUP($C75,Data!$D$2:$H$97,H$8,FALSE))</f>
        <v/>
      </c>
      <c r="I75" s="80" t="str">
        <f>IF(COUNTIF(Data!$D$2:$D$97,$C75)=0,"",VLOOKUP($C75,Data!$D$2:$H$97,I$8,FALSE))</f>
        <v/>
      </c>
      <c r="J75" s="77" t="str">
        <f>IF(A75="","",VLOOKUP($B75,'Start List'!$B$15:$Y$139,J$8,FALSE))</f>
        <v/>
      </c>
      <c r="K75" s="77" t="str">
        <f>IF(B75="","",VLOOKUP($B75,'Start List'!$B$15:$Y$139,K$8,FALSE))</f>
        <v/>
      </c>
      <c r="L75" s="77" t="str">
        <f>IF(J75="","",VLOOKUP($B75,'Start List'!$B$15:$Y$139,L$8,FALSE))</f>
        <v/>
      </c>
      <c r="M75" s="79" t="str">
        <f>IF(K75="","",VLOOKUP($B75,'Start List'!$B$15:$Y$139,M$8,FALSE))</f>
        <v/>
      </c>
      <c r="N75" s="150" t="str">
        <f>IF($B75="","",VLOOKUP($B75,'Start List'!$B$15:$Y$139,N$8,FALSE))</f>
        <v/>
      </c>
      <c r="O75" s="80" t="str">
        <f>IF($B75="","",VLOOKUP($B75,'Start List'!$B$15:$Y$139,O$8,FALSE))</f>
        <v/>
      </c>
      <c r="P75" s="80" t="str">
        <f>IF($B75="","",VLOOKUP($B75,'Start List'!$B$15:$Y$139,P$8,FALSE))</f>
        <v/>
      </c>
      <c r="Q75" s="150" t="str">
        <f>IF($B75="","",VLOOKUP($B75,'Start List'!$B$15:$Y$139,Q$8,FALSE))</f>
        <v/>
      </c>
      <c r="R75" s="80" t="str">
        <f>IF($B75="","",VLOOKUP($B75,'Start List'!$B$15:$Y$139,R$8,FALSE))</f>
        <v/>
      </c>
      <c r="S75" s="150" t="str">
        <f>IF($B75="","",VLOOKUP($B75,'Start List'!$B$15:$Y$139,S$8,FALSE))</f>
        <v/>
      </c>
      <c r="T75" s="150" t="str">
        <f>IF($B75="","",VLOOKUP($B75,'Start List'!$B$15:$Y$139,T$8,FALSE))</f>
        <v/>
      </c>
      <c r="U75" s="80" t="str">
        <f>IF($B75="","",VLOOKUP($B75,'Start List'!$B$15:$Y$139,U$8,FALSE))</f>
        <v/>
      </c>
      <c r="V75" s="80" t="str">
        <f>IF($B75="","",VLOOKUP($B75,'Start List'!$B$15:$Y$139,V$8,FALSE))</f>
        <v/>
      </c>
      <c r="W75" s="150" t="str">
        <f>IF($B75="","",VLOOKUP($B75,'Start List'!$B$15:$Y$139,W$8,FALSE))</f>
        <v/>
      </c>
      <c r="X75" s="80" t="str">
        <f>IF($B75="","",VLOOKUP($B75,'Start List'!$B$15:$Y$139,X$8,FALSE))</f>
        <v/>
      </c>
      <c r="Y75" s="80" t="str">
        <f>IF($B75="","",VLOOKUP($B75,'Start List'!$B$15:$Y$139,Y$8,FALSE))</f>
        <v/>
      </c>
      <c r="Z75" s="217" t="str">
        <f>IF($B75="","",VLOOKUP($B75,'Start List'!$B$15:$Y$139,Z$8,FALSE))</f>
        <v/>
      </c>
      <c r="AA75" s="218" t="str">
        <f>IF($B75="","",VLOOKUP($B75,'Start List'!$B$15:$Y$139,AA$8,FALSE))</f>
        <v/>
      </c>
      <c r="AB75" s="218" t="str">
        <f>IF($B75="","",VLOOKUP($B75,'Start List'!$B$15:$Y$139,AB$8,FALSE))</f>
        <v/>
      </c>
    </row>
    <row r="76" spans="1:28" ht="12.75" x14ac:dyDescent="0.2">
      <c r="A76" s="75" t="str">
        <f>'Start List'!A82</f>
        <v/>
      </c>
      <c r="B76" s="76" t="str">
        <f>IF(A76="","",LARGE('Start List'!$B$15:$B$139,A76))</f>
        <v/>
      </c>
      <c r="C76" s="76" t="str">
        <f t="shared" si="3"/>
        <v/>
      </c>
      <c r="D76" s="76" t="str">
        <f t="shared" si="4"/>
        <v/>
      </c>
      <c r="E76" s="76" t="str">
        <f t="shared" si="5"/>
        <v/>
      </c>
      <c r="F76" s="80" t="str">
        <f>IF(COUNTIF(Data!$D$2:$D$97,$C76)=0,"",VLOOKUP($C76,Data!$D$2:$H$97,F$8,FALSE))</f>
        <v/>
      </c>
      <c r="G76" s="80" t="str">
        <f>IF(COUNTIF(Data!$D$2:$D$97,$C76)=0,"",VLOOKUP($C76,Data!$D$2:$H$97,G$8,FALSE))</f>
        <v/>
      </c>
      <c r="H76" s="80" t="str">
        <f>IF(COUNTIF(Data!$D$2:$D$97,$C76)=0,"",VLOOKUP($C76,Data!$D$2:$H$97,H$8,FALSE))</f>
        <v/>
      </c>
      <c r="I76" s="80" t="str">
        <f>IF(COUNTIF(Data!$D$2:$D$97,$C76)=0,"",VLOOKUP($C76,Data!$D$2:$H$97,I$8,FALSE))</f>
        <v/>
      </c>
      <c r="J76" s="77" t="str">
        <f>IF(A76="","",VLOOKUP($B76,'Start List'!$B$15:$Y$139,J$8,FALSE))</f>
        <v/>
      </c>
      <c r="K76" s="77" t="str">
        <f>IF(B76="","",VLOOKUP($B76,'Start List'!$B$15:$Y$139,K$8,FALSE))</f>
        <v/>
      </c>
      <c r="L76" s="77" t="str">
        <f>IF(J76="","",VLOOKUP($B76,'Start List'!$B$15:$Y$139,L$8,FALSE))</f>
        <v/>
      </c>
      <c r="M76" s="79" t="str">
        <f>IF(K76="","",VLOOKUP($B76,'Start List'!$B$15:$Y$139,M$8,FALSE))</f>
        <v/>
      </c>
      <c r="N76" s="150" t="str">
        <f>IF($B76="","",VLOOKUP($B76,'Start List'!$B$15:$Y$139,N$8,FALSE))</f>
        <v/>
      </c>
      <c r="O76" s="80" t="str">
        <f>IF($B76="","",VLOOKUP($B76,'Start List'!$B$15:$Y$139,O$8,FALSE))</f>
        <v/>
      </c>
      <c r="P76" s="80" t="str">
        <f>IF($B76="","",VLOOKUP($B76,'Start List'!$B$15:$Y$139,P$8,FALSE))</f>
        <v/>
      </c>
      <c r="Q76" s="150" t="str">
        <f>IF($B76="","",VLOOKUP($B76,'Start List'!$B$15:$Y$139,Q$8,FALSE))</f>
        <v/>
      </c>
      <c r="R76" s="80" t="str">
        <f>IF($B76="","",VLOOKUP($B76,'Start List'!$B$15:$Y$139,R$8,FALSE))</f>
        <v/>
      </c>
      <c r="S76" s="150" t="str">
        <f>IF($B76="","",VLOOKUP($B76,'Start List'!$B$15:$Y$139,S$8,FALSE))</f>
        <v/>
      </c>
      <c r="T76" s="150" t="str">
        <f>IF($B76="","",VLOOKUP($B76,'Start List'!$B$15:$Y$139,T$8,FALSE))</f>
        <v/>
      </c>
      <c r="U76" s="80" t="str">
        <f>IF($B76="","",VLOOKUP($B76,'Start List'!$B$15:$Y$139,U$8,FALSE))</f>
        <v/>
      </c>
      <c r="V76" s="80" t="str">
        <f>IF($B76="","",VLOOKUP($B76,'Start List'!$B$15:$Y$139,V$8,FALSE))</f>
        <v/>
      </c>
      <c r="W76" s="150" t="str">
        <f>IF($B76="","",VLOOKUP($B76,'Start List'!$B$15:$Y$139,W$8,FALSE))</f>
        <v/>
      </c>
      <c r="X76" s="80" t="str">
        <f>IF($B76="","",VLOOKUP($B76,'Start List'!$B$15:$Y$139,X$8,FALSE))</f>
        <v/>
      </c>
      <c r="Y76" s="80" t="str">
        <f>IF($B76="","",VLOOKUP($B76,'Start List'!$B$15:$Y$139,Y$8,FALSE))</f>
        <v/>
      </c>
      <c r="Z76" s="217" t="str">
        <f>IF($B76="","",VLOOKUP($B76,'Start List'!$B$15:$Y$139,Z$8,FALSE))</f>
        <v/>
      </c>
      <c r="AA76" s="218" t="str">
        <f>IF($B76="","",VLOOKUP($B76,'Start List'!$B$15:$Y$139,AA$8,FALSE))</f>
        <v/>
      </c>
      <c r="AB76" s="218" t="str">
        <f>IF($B76="","",VLOOKUP($B76,'Start List'!$B$15:$Y$139,AB$8,FALSE))</f>
        <v/>
      </c>
    </row>
    <row r="77" spans="1:28" ht="12.75" x14ac:dyDescent="0.2">
      <c r="A77" s="75" t="str">
        <f>'Start List'!A83</f>
        <v/>
      </c>
      <c r="B77" s="76" t="str">
        <f>IF(A77="","",LARGE('Start List'!$B$15:$B$139,A77))</f>
        <v/>
      </c>
      <c r="C77" s="76" t="str">
        <f t="shared" si="3"/>
        <v/>
      </c>
      <c r="D77" s="76" t="str">
        <f t="shared" si="4"/>
        <v/>
      </c>
      <c r="E77" s="76" t="str">
        <f t="shared" si="5"/>
        <v/>
      </c>
      <c r="F77" s="80" t="str">
        <f>IF(COUNTIF(Data!$D$2:$D$97,$C77)=0,"",VLOOKUP($C77,Data!$D$2:$H$97,F$8,FALSE))</f>
        <v/>
      </c>
      <c r="G77" s="80" t="str">
        <f>IF(COUNTIF(Data!$D$2:$D$97,$C77)=0,"",VLOOKUP($C77,Data!$D$2:$H$97,G$8,FALSE))</f>
        <v/>
      </c>
      <c r="H77" s="80" t="str">
        <f>IF(COUNTIF(Data!$D$2:$D$97,$C77)=0,"",VLOOKUP($C77,Data!$D$2:$H$97,H$8,FALSE))</f>
        <v/>
      </c>
      <c r="I77" s="80" t="str">
        <f>IF(COUNTIF(Data!$D$2:$D$97,$C77)=0,"",VLOOKUP($C77,Data!$D$2:$H$97,I$8,FALSE))</f>
        <v/>
      </c>
      <c r="J77" s="77" t="str">
        <f>IF(A77="","",VLOOKUP($B77,'Start List'!$B$15:$Y$139,J$8,FALSE))</f>
        <v/>
      </c>
      <c r="K77" s="77" t="str">
        <f>IF(B77="","",VLOOKUP($B77,'Start List'!$B$15:$Y$139,K$8,FALSE))</f>
        <v/>
      </c>
      <c r="L77" s="77" t="str">
        <f>IF(J77="","",VLOOKUP($B77,'Start List'!$B$15:$Y$139,L$8,FALSE))</f>
        <v/>
      </c>
      <c r="M77" s="79" t="str">
        <f>IF(K77="","",VLOOKUP($B77,'Start List'!$B$15:$Y$139,M$8,FALSE))</f>
        <v/>
      </c>
      <c r="N77" s="150" t="str">
        <f>IF($B77="","",VLOOKUP($B77,'Start List'!$B$15:$Y$139,N$8,FALSE))</f>
        <v/>
      </c>
      <c r="O77" s="80" t="str">
        <f>IF($B77="","",VLOOKUP($B77,'Start List'!$B$15:$Y$139,O$8,FALSE))</f>
        <v/>
      </c>
      <c r="P77" s="80" t="str">
        <f>IF($B77="","",VLOOKUP($B77,'Start List'!$B$15:$Y$139,P$8,FALSE))</f>
        <v/>
      </c>
      <c r="Q77" s="150" t="str">
        <f>IF($B77="","",VLOOKUP($B77,'Start List'!$B$15:$Y$139,Q$8,FALSE))</f>
        <v/>
      </c>
      <c r="R77" s="80" t="str">
        <f>IF($B77="","",VLOOKUP($B77,'Start List'!$B$15:$Y$139,R$8,FALSE))</f>
        <v/>
      </c>
      <c r="S77" s="150" t="str">
        <f>IF($B77="","",VLOOKUP($B77,'Start List'!$B$15:$Y$139,S$8,FALSE))</f>
        <v/>
      </c>
      <c r="T77" s="150" t="str">
        <f>IF($B77="","",VLOOKUP($B77,'Start List'!$B$15:$Y$139,T$8,FALSE))</f>
        <v/>
      </c>
      <c r="U77" s="80" t="str">
        <f>IF($B77="","",VLOOKUP($B77,'Start List'!$B$15:$Y$139,U$8,FALSE))</f>
        <v/>
      </c>
      <c r="V77" s="80" t="str">
        <f>IF($B77="","",VLOOKUP($B77,'Start List'!$B$15:$Y$139,V$8,FALSE))</f>
        <v/>
      </c>
      <c r="W77" s="150" t="str">
        <f>IF($B77="","",VLOOKUP($B77,'Start List'!$B$15:$Y$139,W$8,FALSE))</f>
        <v/>
      </c>
      <c r="X77" s="80" t="str">
        <f>IF($B77="","",VLOOKUP($B77,'Start List'!$B$15:$Y$139,X$8,FALSE))</f>
        <v/>
      </c>
      <c r="Y77" s="80" t="str">
        <f>IF($B77="","",VLOOKUP($B77,'Start List'!$B$15:$Y$139,Y$8,FALSE))</f>
        <v/>
      </c>
      <c r="Z77" s="217" t="str">
        <f>IF($B77="","",VLOOKUP($B77,'Start List'!$B$15:$Y$139,Z$8,FALSE))</f>
        <v/>
      </c>
      <c r="AA77" s="218" t="str">
        <f>IF($B77="","",VLOOKUP($B77,'Start List'!$B$15:$Y$139,AA$8,FALSE))</f>
        <v/>
      </c>
      <c r="AB77" s="218" t="str">
        <f>IF($B77="","",VLOOKUP($B77,'Start List'!$B$15:$Y$139,AB$8,FALSE))</f>
        <v/>
      </c>
    </row>
    <row r="78" spans="1:28" ht="12.75" x14ac:dyDescent="0.2">
      <c r="A78" s="75" t="str">
        <f>'Start List'!A84</f>
        <v/>
      </c>
      <c r="B78" s="76" t="str">
        <f>IF(A78="","",LARGE('Start List'!$B$15:$B$139,A78))</f>
        <v/>
      </c>
      <c r="C78" s="76" t="str">
        <f t="shared" si="3"/>
        <v/>
      </c>
      <c r="D78" s="76" t="str">
        <f t="shared" si="4"/>
        <v/>
      </c>
      <c r="E78" s="76" t="str">
        <f t="shared" si="5"/>
        <v/>
      </c>
      <c r="F78" s="80" t="str">
        <f>IF(COUNTIF(Data!$D$2:$D$97,$C78)=0,"",VLOOKUP($C78,Data!$D$2:$H$97,F$8,FALSE))</f>
        <v/>
      </c>
      <c r="G78" s="80" t="str">
        <f>IF(COUNTIF(Data!$D$2:$D$97,$C78)=0,"",VLOOKUP($C78,Data!$D$2:$H$97,G$8,FALSE))</f>
        <v/>
      </c>
      <c r="H78" s="80" t="str">
        <f>IF(COUNTIF(Data!$D$2:$D$97,$C78)=0,"",VLOOKUP($C78,Data!$D$2:$H$97,H$8,FALSE))</f>
        <v/>
      </c>
      <c r="I78" s="80" t="str">
        <f>IF(COUNTIF(Data!$D$2:$D$97,$C78)=0,"",VLOOKUP($C78,Data!$D$2:$H$97,I$8,FALSE))</f>
        <v/>
      </c>
      <c r="J78" s="77" t="str">
        <f>IF(A78="","",VLOOKUP($B78,'Start List'!$B$15:$Y$139,J$8,FALSE))</f>
        <v/>
      </c>
      <c r="K78" s="77" t="str">
        <f>IF(B78="","",VLOOKUP($B78,'Start List'!$B$15:$Y$139,K$8,FALSE))</f>
        <v/>
      </c>
      <c r="L78" s="77" t="str">
        <f>IF(J78="","",VLOOKUP($B78,'Start List'!$B$15:$Y$139,L$8,FALSE))</f>
        <v/>
      </c>
      <c r="M78" s="79" t="str">
        <f>IF(K78="","",VLOOKUP($B78,'Start List'!$B$15:$Y$139,M$8,FALSE))</f>
        <v/>
      </c>
      <c r="N78" s="150" t="str">
        <f>IF($B78="","",VLOOKUP($B78,'Start List'!$B$15:$Y$139,N$8,FALSE))</f>
        <v/>
      </c>
      <c r="O78" s="80" t="str">
        <f>IF($B78="","",VLOOKUP($B78,'Start List'!$B$15:$Y$139,O$8,FALSE))</f>
        <v/>
      </c>
      <c r="P78" s="80" t="str">
        <f>IF($B78="","",VLOOKUP($B78,'Start List'!$B$15:$Y$139,P$8,FALSE))</f>
        <v/>
      </c>
      <c r="Q78" s="150" t="str">
        <f>IF($B78="","",VLOOKUP($B78,'Start List'!$B$15:$Y$139,Q$8,FALSE))</f>
        <v/>
      </c>
      <c r="R78" s="80" t="str">
        <f>IF($B78="","",VLOOKUP($B78,'Start List'!$B$15:$Y$139,R$8,FALSE))</f>
        <v/>
      </c>
      <c r="S78" s="150" t="str">
        <f>IF($B78="","",VLOOKUP($B78,'Start List'!$B$15:$Y$139,S$8,FALSE))</f>
        <v/>
      </c>
      <c r="T78" s="150" t="str">
        <f>IF($B78="","",VLOOKUP($B78,'Start List'!$B$15:$Y$139,T$8,FALSE))</f>
        <v/>
      </c>
      <c r="U78" s="80" t="str">
        <f>IF($B78="","",VLOOKUP($B78,'Start List'!$B$15:$Y$139,U$8,FALSE))</f>
        <v/>
      </c>
      <c r="V78" s="80" t="str">
        <f>IF($B78="","",VLOOKUP($B78,'Start List'!$B$15:$Y$139,V$8,FALSE))</f>
        <v/>
      </c>
      <c r="W78" s="150" t="str">
        <f>IF($B78="","",VLOOKUP($B78,'Start List'!$B$15:$Y$139,W$8,FALSE))</f>
        <v/>
      </c>
      <c r="X78" s="80" t="str">
        <f>IF($B78="","",VLOOKUP($B78,'Start List'!$B$15:$Y$139,X$8,FALSE))</f>
        <v/>
      </c>
      <c r="Y78" s="80" t="str">
        <f>IF($B78="","",VLOOKUP($B78,'Start List'!$B$15:$Y$139,Y$8,FALSE))</f>
        <v/>
      </c>
      <c r="Z78" s="217" t="str">
        <f>IF($B78="","",VLOOKUP($B78,'Start List'!$B$15:$Y$139,Z$8,FALSE))</f>
        <v/>
      </c>
      <c r="AA78" s="218" t="str">
        <f>IF($B78="","",VLOOKUP($B78,'Start List'!$B$15:$Y$139,AA$8,FALSE))</f>
        <v/>
      </c>
      <c r="AB78" s="218" t="str">
        <f>IF($B78="","",VLOOKUP($B78,'Start List'!$B$15:$Y$139,AB$8,FALSE))</f>
        <v/>
      </c>
    </row>
    <row r="79" spans="1:28" ht="12.75" x14ac:dyDescent="0.2">
      <c r="A79" s="75" t="str">
        <f>'Start List'!A85</f>
        <v/>
      </c>
      <c r="B79" s="76" t="str">
        <f>IF(A79="","",LARGE('Start List'!$B$15:$B$139,A79))</f>
        <v/>
      </c>
      <c r="C79" s="76" t="str">
        <f t="shared" si="3"/>
        <v/>
      </c>
      <c r="D79" s="76" t="str">
        <f t="shared" si="4"/>
        <v/>
      </c>
      <c r="E79" s="76" t="str">
        <f t="shared" si="5"/>
        <v/>
      </c>
      <c r="F79" s="80" t="str">
        <f>IF(COUNTIF(Data!$D$2:$D$97,$C79)=0,"",VLOOKUP($C79,Data!$D$2:$H$97,F$8,FALSE))</f>
        <v/>
      </c>
      <c r="G79" s="80" t="str">
        <f>IF(COUNTIF(Data!$D$2:$D$97,$C79)=0,"",VLOOKUP($C79,Data!$D$2:$H$97,G$8,FALSE))</f>
        <v/>
      </c>
      <c r="H79" s="80" t="str">
        <f>IF(COUNTIF(Data!$D$2:$D$97,$C79)=0,"",VLOOKUP($C79,Data!$D$2:$H$97,H$8,FALSE))</f>
        <v/>
      </c>
      <c r="I79" s="80" t="str">
        <f>IF(COUNTIF(Data!$D$2:$D$97,$C79)=0,"",VLOOKUP($C79,Data!$D$2:$H$97,I$8,FALSE))</f>
        <v/>
      </c>
      <c r="J79" s="77" t="str">
        <f>IF(A79="","",VLOOKUP($B79,'Start List'!$B$15:$Y$139,J$8,FALSE))</f>
        <v/>
      </c>
      <c r="K79" s="77" t="str">
        <f>IF(B79="","",VLOOKUP($B79,'Start List'!$B$15:$Y$139,K$8,FALSE))</f>
        <v/>
      </c>
      <c r="L79" s="77" t="str">
        <f>IF(J79="","",VLOOKUP($B79,'Start List'!$B$15:$Y$139,L$8,FALSE))</f>
        <v/>
      </c>
      <c r="M79" s="79" t="str">
        <f>IF(K79="","",VLOOKUP($B79,'Start List'!$B$15:$Y$139,M$8,FALSE))</f>
        <v/>
      </c>
      <c r="N79" s="150" t="str">
        <f>IF($B79="","",VLOOKUP($B79,'Start List'!$B$15:$Y$139,N$8,FALSE))</f>
        <v/>
      </c>
      <c r="O79" s="80" t="str">
        <f>IF($B79="","",VLOOKUP($B79,'Start List'!$B$15:$Y$139,O$8,FALSE))</f>
        <v/>
      </c>
      <c r="P79" s="80" t="str">
        <f>IF($B79="","",VLOOKUP($B79,'Start List'!$B$15:$Y$139,P$8,FALSE))</f>
        <v/>
      </c>
      <c r="Q79" s="150" t="str">
        <f>IF($B79="","",VLOOKUP($B79,'Start List'!$B$15:$Y$139,Q$8,FALSE))</f>
        <v/>
      </c>
      <c r="R79" s="80" t="str">
        <f>IF($B79="","",VLOOKUP($B79,'Start List'!$B$15:$Y$139,R$8,FALSE))</f>
        <v/>
      </c>
      <c r="S79" s="150" t="str">
        <f>IF($B79="","",VLOOKUP($B79,'Start List'!$B$15:$Y$139,S$8,FALSE))</f>
        <v/>
      </c>
      <c r="T79" s="150" t="str">
        <f>IF($B79="","",VLOOKUP($B79,'Start List'!$B$15:$Y$139,T$8,FALSE))</f>
        <v/>
      </c>
      <c r="U79" s="80" t="str">
        <f>IF($B79="","",VLOOKUP($B79,'Start List'!$B$15:$Y$139,U$8,FALSE))</f>
        <v/>
      </c>
      <c r="V79" s="80" t="str">
        <f>IF($B79="","",VLOOKUP($B79,'Start List'!$B$15:$Y$139,V$8,FALSE))</f>
        <v/>
      </c>
      <c r="W79" s="150" t="str">
        <f>IF($B79="","",VLOOKUP($B79,'Start List'!$B$15:$Y$139,W$8,FALSE))</f>
        <v/>
      </c>
      <c r="X79" s="80" t="str">
        <f>IF($B79="","",VLOOKUP($B79,'Start List'!$B$15:$Y$139,X$8,FALSE))</f>
        <v/>
      </c>
      <c r="Y79" s="80" t="str">
        <f>IF($B79="","",VLOOKUP($B79,'Start List'!$B$15:$Y$139,Y$8,FALSE))</f>
        <v/>
      </c>
      <c r="Z79" s="217" t="str">
        <f>IF($B79="","",VLOOKUP($B79,'Start List'!$B$15:$Y$139,Z$8,FALSE))</f>
        <v/>
      </c>
      <c r="AA79" s="218" t="str">
        <f>IF($B79="","",VLOOKUP($B79,'Start List'!$B$15:$Y$139,AA$8,FALSE))</f>
        <v/>
      </c>
      <c r="AB79" s="218" t="str">
        <f>IF($B79="","",VLOOKUP($B79,'Start List'!$B$15:$Y$139,AB$8,FALSE))</f>
        <v/>
      </c>
    </row>
    <row r="80" spans="1:28" ht="12.75" x14ac:dyDescent="0.2">
      <c r="A80" s="75" t="str">
        <f>'Start List'!A86</f>
        <v/>
      </c>
      <c r="B80" s="76" t="str">
        <f>IF(A80="","",LARGE('Start List'!$B$15:$B$139,A80))</f>
        <v/>
      </c>
      <c r="C80" s="76" t="str">
        <f t="shared" si="3"/>
        <v/>
      </c>
      <c r="D80" s="76" t="str">
        <f t="shared" si="4"/>
        <v/>
      </c>
      <c r="E80" s="76" t="str">
        <f t="shared" si="5"/>
        <v/>
      </c>
      <c r="F80" s="80" t="str">
        <f>IF(COUNTIF(Data!$D$2:$D$97,$C80)=0,"",VLOOKUP($C80,Data!$D$2:$H$97,F$8,FALSE))</f>
        <v/>
      </c>
      <c r="G80" s="80" t="str">
        <f>IF(COUNTIF(Data!$D$2:$D$97,$C80)=0,"",VLOOKUP($C80,Data!$D$2:$H$97,G$8,FALSE))</f>
        <v/>
      </c>
      <c r="H80" s="80" t="str">
        <f>IF(COUNTIF(Data!$D$2:$D$97,$C80)=0,"",VLOOKUP($C80,Data!$D$2:$H$97,H$8,FALSE))</f>
        <v/>
      </c>
      <c r="I80" s="80" t="str">
        <f>IF(COUNTIF(Data!$D$2:$D$97,$C80)=0,"",VLOOKUP($C80,Data!$D$2:$H$97,I$8,FALSE))</f>
        <v/>
      </c>
      <c r="J80" s="77" t="str">
        <f>IF(A80="","",VLOOKUP($B80,'Start List'!$B$15:$Y$139,J$8,FALSE))</f>
        <v/>
      </c>
      <c r="K80" s="77" t="str">
        <f>IF(B80="","",VLOOKUP($B80,'Start List'!$B$15:$Y$139,K$8,FALSE))</f>
        <v/>
      </c>
      <c r="L80" s="77" t="str">
        <f>IF(J80="","",VLOOKUP($B80,'Start List'!$B$15:$Y$139,L$8,FALSE))</f>
        <v/>
      </c>
      <c r="M80" s="79" t="str">
        <f>IF(K80="","",VLOOKUP($B80,'Start List'!$B$15:$Y$139,M$8,FALSE))</f>
        <v/>
      </c>
      <c r="N80" s="150" t="str">
        <f>IF($B80="","",VLOOKUP($B80,'Start List'!$B$15:$Y$139,N$8,FALSE))</f>
        <v/>
      </c>
      <c r="O80" s="80" t="str">
        <f>IF($B80="","",VLOOKUP($B80,'Start List'!$B$15:$Y$139,O$8,FALSE))</f>
        <v/>
      </c>
      <c r="P80" s="80" t="str">
        <f>IF($B80="","",VLOOKUP($B80,'Start List'!$B$15:$Y$139,P$8,FALSE))</f>
        <v/>
      </c>
      <c r="Q80" s="150" t="str">
        <f>IF($B80="","",VLOOKUP($B80,'Start List'!$B$15:$Y$139,Q$8,FALSE))</f>
        <v/>
      </c>
      <c r="R80" s="80" t="str">
        <f>IF($B80="","",VLOOKUP($B80,'Start List'!$B$15:$Y$139,R$8,FALSE))</f>
        <v/>
      </c>
      <c r="S80" s="150" t="str">
        <f>IF($B80="","",VLOOKUP($B80,'Start List'!$B$15:$Y$139,S$8,FALSE))</f>
        <v/>
      </c>
      <c r="T80" s="150" t="str">
        <f>IF($B80="","",VLOOKUP($B80,'Start List'!$B$15:$Y$139,T$8,FALSE))</f>
        <v/>
      </c>
      <c r="U80" s="80" t="str">
        <f>IF($B80="","",VLOOKUP($B80,'Start List'!$B$15:$Y$139,U$8,FALSE))</f>
        <v/>
      </c>
      <c r="V80" s="80" t="str">
        <f>IF($B80="","",VLOOKUP($B80,'Start List'!$B$15:$Y$139,V$8,FALSE))</f>
        <v/>
      </c>
      <c r="W80" s="150" t="str">
        <f>IF($B80="","",VLOOKUP($B80,'Start List'!$B$15:$Y$139,W$8,FALSE))</f>
        <v/>
      </c>
      <c r="X80" s="80" t="str">
        <f>IF($B80="","",VLOOKUP($B80,'Start List'!$B$15:$Y$139,X$8,FALSE))</f>
        <v/>
      </c>
      <c r="Y80" s="80" t="str">
        <f>IF($B80="","",VLOOKUP($B80,'Start List'!$B$15:$Y$139,Y$8,FALSE))</f>
        <v/>
      </c>
      <c r="Z80" s="217" t="str">
        <f>IF($B80="","",VLOOKUP($B80,'Start List'!$B$15:$Y$139,Z$8,FALSE))</f>
        <v/>
      </c>
      <c r="AA80" s="218" t="str">
        <f>IF($B80="","",VLOOKUP($B80,'Start List'!$B$15:$Y$139,AA$8,FALSE))</f>
        <v/>
      </c>
      <c r="AB80" s="218" t="str">
        <f>IF($B80="","",VLOOKUP($B80,'Start List'!$B$15:$Y$139,AB$8,FALSE))</f>
        <v/>
      </c>
    </row>
    <row r="81" spans="1:28" ht="12.75" x14ac:dyDescent="0.2">
      <c r="A81" s="75" t="str">
        <f>'Start List'!A87</f>
        <v/>
      </c>
      <c r="B81" s="76" t="str">
        <f>IF(A81="","",LARGE('Start List'!$B$15:$B$139,A81))</f>
        <v/>
      </c>
      <c r="C81" s="76" t="str">
        <f t="shared" si="3"/>
        <v/>
      </c>
      <c r="D81" s="76" t="str">
        <f t="shared" si="4"/>
        <v/>
      </c>
      <c r="E81" s="76" t="str">
        <f t="shared" si="5"/>
        <v/>
      </c>
      <c r="F81" s="80" t="str">
        <f>IF(COUNTIF(Data!$D$2:$D$97,$C81)=0,"",VLOOKUP($C81,Data!$D$2:$H$97,F$8,FALSE))</f>
        <v/>
      </c>
      <c r="G81" s="80" t="str">
        <f>IF(COUNTIF(Data!$D$2:$D$97,$C81)=0,"",VLOOKUP($C81,Data!$D$2:$H$97,G$8,FALSE))</f>
        <v/>
      </c>
      <c r="H81" s="80" t="str">
        <f>IF(COUNTIF(Data!$D$2:$D$97,$C81)=0,"",VLOOKUP($C81,Data!$D$2:$H$97,H$8,FALSE))</f>
        <v/>
      </c>
      <c r="I81" s="80" t="str">
        <f>IF(COUNTIF(Data!$D$2:$D$97,$C81)=0,"",VLOOKUP($C81,Data!$D$2:$H$97,I$8,FALSE))</f>
        <v/>
      </c>
      <c r="J81" s="77" t="str">
        <f>IF(A81="","",VLOOKUP($B81,'Start List'!$B$15:$Y$139,J$8,FALSE))</f>
        <v/>
      </c>
      <c r="K81" s="77" t="str">
        <f>IF(B81="","",VLOOKUP($B81,'Start List'!$B$15:$Y$139,K$8,FALSE))</f>
        <v/>
      </c>
      <c r="L81" s="77" t="str">
        <f>IF(J81="","",VLOOKUP($B81,'Start List'!$B$15:$Y$139,L$8,FALSE))</f>
        <v/>
      </c>
      <c r="M81" s="79" t="str">
        <f>IF(K81="","",VLOOKUP($B81,'Start List'!$B$15:$Y$139,M$8,FALSE))</f>
        <v/>
      </c>
      <c r="N81" s="150" t="str">
        <f>IF($B81="","",VLOOKUP($B81,'Start List'!$B$15:$Y$139,N$8,FALSE))</f>
        <v/>
      </c>
      <c r="O81" s="80" t="str">
        <f>IF($B81="","",VLOOKUP($B81,'Start List'!$B$15:$Y$139,O$8,FALSE))</f>
        <v/>
      </c>
      <c r="P81" s="80" t="str">
        <f>IF($B81="","",VLOOKUP($B81,'Start List'!$B$15:$Y$139,P$8,FALSE))</f>
        <v/>
      </c>
      <c r="Q81" s="150" t="str">
        <f>IF($B81="","",VLOOKUP($B81,'Start List'!$B$15:$Y$139,Q$8,FALSE))</f>
        <v/>
      </c>
      <c r="R81" s="80" t="str">
        <f>IF($B81="","",VLOOKUP($B81,'Start List'!$B$15:$Y$139,R$8,FALSE))</f>
        <v/>
      </c>
      <c r="S81" s="150" t="str">
        <f>IF($B81="","",VLOOKUP($B81,'Start List'!$B$15:$Y$139,S$8,FALSE))</f>
        <v/>
      </c>
      <c r="T81" s="150" t="str">
        <f>IF($B81="","",VLOOKUP($B81,'Start List'!$B$15:$Y$139,T$8,FALSE))</f>
        <v/>
      </c>
      <c r="U81" s="80" t="str">
        <f>IF($B81="","",VLOOKUP($B81,'Start List'!$B$15:$Y$139,U$8,FALSE))</f>
        <v/>
      </c>
      <c r="V81" s="80" t="str">
        <f>IF($B81="","",VLOOKUP($B81,'Start List'!$B$15:$Y$139,V$8,FALSE))</f>
        <v/>
      </c>
      <c r="W81" s="150" t="str">
        <f>IF($B81="","",VLOOKUP($B81,'Start List'!$B$15:$Y$139,W$8,FALSE))</f>
        <v/>
      </c>
      <c r="X81" s="80" t="str">
        <f>IF($B81="","",VLOOKUP($B81,'Start List'!$B$15:$Y$139,X$8,FALSE))</f>
        <v/>
      </c>
      <c r="Y81" s="80" t="str">
        <f>IF($B81="","",VLOOKUP($B81,'Start List'!$B$15:$Y$139,Y$8,FALSE))</f>
        <v/>
      </c>
      <c r="Z81" s="217" t="str">
        <f>IF($B81="","",VLOOKUP($B81,'Start List'!$B$15:$Y$139,Z$8,FALSE))</f>
        <v/>
      </c>
      <c r="AA81" s="218" t="str">
        <f>IF($B81="","",VLOOKUP($B81,'Start List'!$B$15:$Y$139,AA$8,FALSE))</f>
        <v/>
      </c>
      <c r="AB81" s="218" t="str">
        <f>IF($B81="","",VLOOKUP($B81,'Start List'!$B$15:$Y$139,AB$8,FALSE))</f>
        <v/>
      </c>
    </row>
    <row r="82" spans="1:28" ht="12.75" x14ac:dyDescent="0.2">
      <c r="A82" s="75" t="str">
        <f>'Start List'!A88</f>
        <v/>
      </c>
      <c r="B82" s="76" t="str">
        <f>IF(A82="","",LARGE('Start List'!$B$15:$B$139,A82))</f>
        <v/>
      </c>
      <c r="C82" s="76" t="str">
        <f t="shared" si="3"/>
        <v/>
      </c>
      <c r="D82" s="76" t="str">
        <f t="shared" si="4"/>
        <v/>
      </c>
      <c r="E82" s="76" t="str">
        <f t="shared" si="5"/>
        <v/>
      </c>
      <c r="F82" s="80" t="str">
        <f>IF(COUNTIF(Data!$D$2:$D$97,$C82)=0,"",VLOOKUP($C82,Data!$D$2:$H$97,F$8,FALSE))</f>
        <v/>
      </c>
      <c r="G82" s="80" t="str">
        <f>IF(COUNTIF(Data!$D$2:$D$97,$C82)=0,"",VLOOKUP($C82,Data!$D$2:$H$97,G$8,FALSE))</f>
        <v/>
      </c>
      <c r="H82" s="80" t="str">
        <f>IF(COUNTIF(Data!$D$2:$D$97,$C82)=0,"",VLOOKUP($C82,Data!$D$2:$H$97,H$8,FALSE))</f>
        <v/>
      </c>
      <c r="I82" s="80" t="str">
        <f>IF(COUNTIF(Data!$D$2:$D$97,$C82)=0,"",VLOOKUP($C82,Data!$D$2:$H$97,I$8,FALSE))</f>
        <v/>
      </c>
      <c r="J82" s="77" t="str">
        <f>IF(A82="","",VLOOKUP($B82,'Start List'!$B$15:$Y$139,J$8,FALSE))</f>
        <v/>
      </c>
      <c r="K82" s="77" t="str">
        <f>IF(B82="","",VLOOKUP($B82,'Start List'!$B$15:$Y$139,K$8,FALSE))</f>
        <v/>
      </c>
      <c r="L82" s="77" t="str">
        <f>IF(J82="","",VLOOKUP($B82,'Start List'!$B$15:$Y$139,L$8,FALSE))</f>
        <v/>
      </c>
      <c r="M82" s="79" t="str">
        <f>IF(K82="","",VLOOKUP($B82,'Start List'!$B$15:$Y$139,M$8,FALSE))</f>
        <v/>
      </c>
      <c r="N82" s="150" t="str">
        <f>IF($B82="","",VLOOKUP($B82,'Start List'!$B$15:$Y$139,N$8,FALSE))</f>
        <v/>
      </c>
      <c r="O82" s="80" t="str">
        <f>IF($B82="","",VLOOKUP($B82,'Start List'!$B$15:$Y$139,O$8,FALSE))</f>
        <v/>
      </c>
      <c r="P82" s="80" t="str">
        <f>IF($B82="","",VLOOKUP($B82,'Start List'!$B$15:$Y$139,P$8,FALSE))</f>
        <v/>
      </c>
      <c r="Q82" s="150" t="str">
        <f>IF($B82="","",VLOOKUP($B82,'Start List'!$B$15:$Y$139,Q$8,FALSE))</f>
        <v/>
      </c>
      <c r="R82" s="80" t="str">
        <f>IF($B82="","",VLOOKUP($B82,'Start List'!$B$15:$Y$139,R$8,FALSE))</f>
        <v/>
      </c>
      <c r="S82" s="150" t="str">
        <f>IF($B82="","",VLOOKUP($B82,'Start List'!$B$15:$Y$139,S$8,FALSE))</f>
        <v/>
      </c>
      <c r="T82" s="150" t="str">
        <f>IF($B82="","",VLOOKUP($B82,'Start List'!$B$15:$Y$139,T$8,FALSE))</f>
        <v/>
      </c>
      <c r="U82" s="80" t="str">
        <f>IF($B82="","",VLOOKUP($B82,'Start List'!$B$15:$Y$139,U$8,FALSE))</f>
        <v/>
      </c>
      <c r="V82" s="80" t="str">
        <f>IF($B82="","",VLOOKUP($B82,'Start List'!$B$15:$Y$139,V$8,FALSE))</f>
        <v/>
      </c>
      <c r="W82" s="150" t="str">
        <f>IF($B82="","",VLOOKUP($B82,'Start List'!$B$15:$Y$139,W$8,FALSE))</f>
        <v/>
      </c>
      <c r="X82" s="80" t="str">
        <f>IF($B82="","",VLOOKUP($B82,'Start List'!$B$15:$Y$139,X$8,FALSE))</f>
        <v/>
      </c>
      <c r="Y82" s="80" t="str">
        <f>IF($B82="","",VLOOKUP($B82,'Start List'!$B$15:$Y$139,Y$8,FALSE))</f>
        <v/>
      </c>
      <c r="Z82" s="217" t="str">
        <f>IF($B82="","",VLOOKUP($B82,'Start List'!$B$15:$Y$139,Z$8,FALSE))</f>
        <v/>
      </c>
      <c r="AA82" s="218" t="str">
        <f>IF($B82="","",VLOOKUP($B82,'Start List'!$B$15:$Y$139,AA$8,FALSE))</f>
        <v/>
      </c>
      <c r="AB82" s="218" t="str">
        <f>IF($B82="","",VLOOKUP($B82,'Start List'!$B$15:$Y$139,AB$8,FALSE))</f>
        <v/>
      </c>
    </row>
    <row r="83" spans="1:28" ht="12.75" x14ac:dyDescent="0.2">
      <c r="A83" s="75" t="str">
        <f>'Start List'!A89</f>
        <v/>
      </c>
      <c r="B83" s="76" t="str">
        <f>IF(A83="","",LARGE('Start List'!$B$15:$B$139,A83))</f>
        <v/>
      </c>
      <c r="C83" s="76" t="str">
        <f t="shared" si="3"/>
        <v/>
      </c>
      <c r="D83" s="76" t="str">
        <f t="shared" si="4"/>
        <v/>
      </c>
      <c r="E83" s="76" t="str">
        <f t="shared" si="5"/>
        <v/>
      </c>
      <c r="F83" s="80" t="str">
        <f>IF(COUNTIF(Data!$D$2:$D$97,$C83)=0,"",VLOOKUP($C83,Data!$D$2:$H$97,F$8,FALSE))</f>
        <v/>
      </c>
      <c r="G83" s="80" t="str">
        <f>IF(COUNTIF(Data!$D$2:$D$97,$C83)=0,"",VLOOKUP($C83,Data!$D$2:$H$97,G$8,FALSE))</f>
        <v/>
      </c>
      <c r="H83" s="80" t="str">
        <f>IF(COUNTIF(Data!$D$2:$D$97,$C83)=0,"",VLOOKUP($C83,Data!$D$2:$H$97,H$8,FALSE))</f>
        <v/>
      </c>
      <c r="I83" s="80" t="str">
        <f>IF(COUNTIF(Data!$D$2:$D$97,$C83)=0,"",VLOOKUP($C83,Data!$D$2:$H$97,I$8,FALSE))</f>
        <v/>
      </c>
      <c r="J83" s="77" t="str">
        <f>IF(A83="","",VLOOKUP($B83,'Start List'!$B$15:$Y$139,J$8,FALSE))</f>
        <v/>
      </c>
      <c r="K83" s="77" t="str">
        <f>IF(B83="","",VLOOKUP($B83,'Start List'!$B$15:$Y$139,K$8,FALSE))</f>
        <v/>
      </c>
      <c r="L83" s="77" t="str">
        <f>IF(J83="","",VLOOKUP($B83,'Start List'!$B$15:$Y$139,L$8,FALSE))</f>
        <v/>
      </c>
      <c r="M83" s="79" t="str">
        <f>IF(K83="","",VLOOKUP($B83,'Start List'!$B$15:$Y$139,M$8,FALSE))</f>
        <v/>
      </c>
      <c r="N83" s="150" t="str">
        <f>IF($B83="","",VLOOKUP($B83,'Start List'!$B$15:$Y$139,N$8,FALSE))</f>
        <v/>
      </c>
      <c r="O83" s="80" t="str">
        <f>IF($B83="","",VLOOKUP($B83,'Start List'!$B$15:$Y$139,O$8,FALSE))</f>
        <v/>
      </c>
      <c r="P83" s="80" t="str">
        <f>IF($B83="","",VLOOKUP($B83,'Start List'!$B$15:$Y$139,P$8,FALSE))</f>
        <v/>
      </c>
      <c r="Q83" s="150" t="str">
        <f>IF($B83="","",VLOOKUP($B83,'Start List'!$B$15:$Y$139,Q$8,FALSE))</f>
        <v/>
      </c>
      <c r="R83" s="80" t="str">
        <f>IF($B83="","",VLOOKUP($B83,'Start List'!$B$15:$Y$139,R$8,FALSE))</f>
        <v/>
      </c>
      <c r="S83" s="150" t="str">
        <f>IF($B83="","",VLOOKUP($B83,'Start List'!$B$15:$Y$139,S$8,FALSE))</f>
        <v/>
      </c>
      <c r="T83" s="150" t="str">
        <f>IF($B83="","",VLOOKUP($B83,'Start List'!$B$15:$Y$139,T$8,FALSE))</f>
        <v/>
      </c>
      <c r="U83" s="80" t="str">
        <f>IF($B83="","",VLOOKUP($B83,'Start List'!$B$15:$Y$139,U$8,FALSE))</f>
        <v/>
      </c>
      <c r="V83" s="80" t="str">
        <f>IF($B83="","",VLOOKUP($B83,'Start List'!$B$15:$Y$139,V$8,FALSE))</f>
        <v/>
      </c>
      <c r="W83" s="150" t="str">
        <f>IF($B83="","",VLOOKUP($B83,'Start List'!$B$15:$Y$139,W$8,FALSE))</f>
        <v/>
      </c>
      <c r="X83" s="80" t="str">
        <f>IF($B83="","",VLOOKUP($B83,'Start List'!$B$15:$Y$139,X$8,FALSE))</f>
        <v/>
      </c>
      <c r="Y83" s="80" t="str">
        <f>IF($B83="","",VLOOKUP($B83,'Start List'!$B$15:$Y$139,Y$8,FALSE))</f>
        <v/>
      </c>
      <c r="Z83" s="217" t="str">
        <f>IF($B83="","",VLOOKUP($B83,'Start List'!$B$15:$Y$139,Z$8,FALSE))</f>
        <v/>
      </c>
      <c r="AA83" s="218" t="str">
        <f>IF($B83="","",VLOOKUP($B83,'Start List'!$B$15:$Y$139,AA$8,FALSE))</f>
        <v/>
      </c>
      <c r="AB83" s="218" t="str">
        <f>IF($B83="","",VLOOKUP($B83,'Start List'!$B$15:$Y$139,AB$8,FALSE))</f>
        <v/>
      </c>
    </row>
    <row r="84" spans="1:28" ht="12.75" x14ac:dyDescent="0.2">
      <c r="A84" s="75" t="str">
        <f>'Start List'!A90</f>
        <v/>
      </c>
      <c r="B84" s="76" t="str">
        <f>IF(A84="","",LARGE('Start List'!$B$15:$B$139,A84))</f>
        <v/>
      </c>
      <c r="C84" s="76" t="str">
        <f t="shared" si="3"/>
        <v/>
      </c>
      <c r="D84" s="76" t="str">
        <f t="shared" si="4"/>
        <v/>
      </c>
      <c r="E84" s="76" t="str">
        <f t="shared" si="5"/>
        <v/>
      </c>
      <c r="F84" s="80" t="str">
        <f>IF(COUNTIF(Data!$D$2:$D$97,$C84)=0,"",VLOOKUP($C84,Data!$D$2:$H$97,F$8,FALSE))</f>
        <v/>
      </c>
      <c r="G84" s="80" t="str">
        <f>IF(COUNTIF(Data!$D$2:$D$97,$C84)=0,"",VLOOKUP($C84,Data!$D$2:$H$97,G$8,FALSE))</f>
        <v/>
      </c>
      <c r="H84" s="80" t="str">
        <f>IF(COUNTIF(Data!$D$2:$D$97,$C84)=0,"",VLOOKUP($C84,Data!$D$2:$H$97,H$8,FALSE))</f>
        <v/>
      </c>
      <c r="I84" s="80" t="str">
        <f>IF(COUNTIF(Data!$D$2:$D$97,$C84)=0,"",VLOOKUP($C84,Data!$D$2:$H$97,I$8,FALSE))</f>
        <v/>
      </c>
      <c r="J84" s="77" t="str">
        <f>IF(A84="","",VLOOKUP($B84,'Start List'!$B$15:$Y$139,J$8,FALSE))</f>
        <v/>
      </c>
      <c r="K84" s="77" t="str">
        <f>IF(B84="","",VLOOKUP($B84,'Start List'!$B$15:$Y$139,K$8,FALSE))</f>
        <v/>
      </c>
      <c r="L84" s="77" t="str">
        <f>IF(J84="","",VLOOKUP($B84,'Start List'!$B$15:$Y$139,L$8,FALSE))</f>
        <v/>
      </c>
      <c r="M84" s="79" t="str">
        <f>IF(K84="","",VLOOKUP($B84,'Start List'!$B$15:$Y$139,M$8,FALSE))</f>
        <v/>
      </c>
      <c r="N84" s="150" t="str">
        <f>IF($B84="","",VLOOKUP($B84,'Start List'!$B$15:$Y$139,N$8,FALSE))</f>
        <v/>
      </c>
      <c r="O84" s="80" t="str">
        <f>IF($B84="","",VLOOKUP($B84,'Start List'!$B$15:$Y$139,O$8,FALSE))</f>
        <v/>
      </c>
      <c r="P84" s="80" t="str">
        <f>IF($B84="","",VLOOKUP($B84,'Start List'!$B$15:$Y$139,P$8,FALSE))</f>
        <v/>
      </c>
      <c r="Q84" s="150" t="str">
        <f>IF($B84="","",VLOOKUP($B84,'Start List'!$B$15:$Y$139,Q$8,FALSE))</f>
        <v/>
      </c>
      <c r="R84" s="80" t="str">
        <f>IF($B84="","",VLOOKUP($B84,'Start List'!$B$15:$Y$139,R$8,FALSE))</f>
        <v/>
      </c>
      <c r="S84" s="150" t="str">
        <f>IF($B84="","",VLOOKUP($B84,'Start List'!$B$15:$Y$139,S$8,FALSE))</f>
        <v/>
      </c>
      <c r="T84" s="150" t="str">
        <f>IF($B84="","",VLOOKUP($B84,'Start List'!$B$15:$Y$139,T$8,FALSE))</f>
        <v/>
      </c>
      <c r="U84" s="80" t="str">
        <f>IF($B84="","",VLOOKUP($B84,'Start List'!$B$15:$Y$139,U$8,FALSE))</f>
        <v/>
      </c>
      <c r="V84" s="80" t="str">
        <f>IF($B84="","",VLOOKUP($B84,'Start List'!$B$15:$Y$139,V$8,FALSE))</f>
        <v/>
      </c>
      <c r="W84" s="150" t="str">
        <f>IF($B84="","",VLOOKUP($B84,'Start List'!$B$15:$Y$139,W$8,FALSE))</f>
        <v/>
      </c>
      <c r="X84" s="80" t="str">
        <f>IF($B84="","",VLOOKUP($B84,'Start List'!$B$15:$Y$139,X$8,FALSE))</f>
        <v/>
      </c>
      <c r="Y84" s="80" t="str">
        <f>IF($B84="","",VLOOKUP($B84,'Start List'!$B$15:$Y$139,Y$8,FALSE))</f>
        <v/>
      </c>
      <c r="Z84" s="217" t="str">
        <f>IF($B84="","",VLOOKUP($B84,'Start List'!$B$15:$Y$139,Z$8,FALSE))</f>
        <v/>
      </c>
      <c r="AA84" s="218" t="str">
        <f>IF($B84="","",VLOOKUP($B84,'Start List'!$B$15:$Y$139,AA$8,FALSE))</f>
        <v/>
      </c>
      <c r="AB84" s="218" t="str">
        <f>IF($B84="","",VLOOKUP($B84,'Start List'!$B$15:$Y$139,AB$8,FALSE))</f>
        <v/>
      </c>
    </row>
    <row r="85" spans="1:28" ht="12.75" x14ac:dyDescent="0.2">
      <c r="A85" s="75" t="str">
        <f>'Start List'!A91</f>
        <v/>
      </c>
      <c r="B85" s="76" t="str">
        <f>IF(A85="","",LARGE('Start List'!$B$15:$B$139,A85))</f>
        <v/>
      </c>
      <c r="C85" s="76" t="str">
        <f t="shared" si="3"/>
        <v/>
      </c>
      <c r="D85" s="76" t="str">
        <f t="shared" si="4"/>
        <v/>
      </c>
      <c r="E85" s="76" t="str">
        <f t="shared" si="5"/>
        <v/>
      </c>
      <c r="F85" s="80" t="str">
        <f>IF(COUNTIF(Data!$D$2:$D$97,$C85)=0,"",VLOOKUP($C85,Data!$D$2:$H$97,F$8,FALSE))</f>
        <v/>
      </c>
      <c r="G85" s="80" t="str">
        <f>IF(COUNTIF(Data!$D$2:$D$97,$C85)=0,"",VLOOKUP($C85,Data!$D$2:$H$97,G$8,FALSE))</f>
        <v/>
      </c>
      <c r="H85" s="80" t="str">
        <f>IF(COUNTIF(Data!$D$2:$D$97,$C85)=0,"",VLOOKUP($C85,Data!$D$2:$H$97,H$8,FALSE))</f>
        <v/>
      </c>
      <c r="I85" s="80" t="str">
        <f>IF(COUNTIF(Data!$D$2:$D$97,$C85)=0,"",VLOOKUP($C85,Data!$D$2:$H$97,I$8,FALSE))</f>
        <v/>
      </c>
      <c r="J85" s="77" t="str">
        <f>IF(A85="","",VLOOKUP($B85,'Start List'!$B$15:$Y$139,J$8,FALSE))</f>
        <v/>
      </c>
      <c r="K85" s="77" t="str">
        <f>IF(B85="","",VLOOKUP($B85,'Start List'!$B$15:$Y$139,K$8,FALSE))</f>
        <v/>
      </c>
      <c r="L85" s="77" t="str">
        <f>IF(J85="","",VLOOKUP($B85,'Start List'!$B$15:$Y$139,L$8,FALSE))</f>
        <v/>
      </c>
      <c r="M85" s="79" t="str">
        <f>IF(K85="","",VLOOKUP($B85,'Start List'!$B$15:$Y$139,M$8,FALSE))</f>
        <v/>
      </c>
      <c r="N85" s="150" t="str">
        <f>IF($B85="","",VLOOKUP($B85,'Start List'!$B$15:$Y$139,N$8,FALSE))</f>
        <v/>
      </c>
      <c r="O85" s="80" t="str">
        <f>IF($B85="","",VLOOKUP($B85,'Start List'!$B$15:$Y$139,O$8,FALSE))</f>
        <v/>
      </c>
      <c r="P85" s="80" t="str">
        <f>IF($B85="","",VLOOKUP($B85,'Start List'!$B$15:$Y$139,P$8,FALSE))</f>
        <v/>
      </c>
      <c r="Q85" s="150" t="str">
        <f>IF($B85="","",VLOOKUP($B85,'Start List'!$B$15:$Y$139,Q$8,FALSE))</f>
        <v/>
      </c>
      <c r="R85" s="80" t="str">
        <f>IF($B85="","",VLOOKUP($B85,'Start List'!$B$15:$Y$139,R$8,FALSE))</f>
        <v/>
      </c>
      <c r="S85" s="150" t="str">
        <f>IF($B85="","",VLOOKUP($B85,'Start List'!$B$15:$Y$139,S$8,FALSE))</f>
        <v/>
      </c>
      <c r="T85" s="150" t="str">
        <f>IF($B85="","",VLOOKUP($B85,'Start List'!$B$15:$Y$139,T$8,FALSE))</f>
        <v/>
      </c>
      <c r="U85" s="80" t="str">
        <f>IF($B85="","",VLOOKUP($B85,'Start List'!$B$15:$Y$139,U$8,FALSE))</f>
        <v/>
      </c>
      <c r="V85" s="80" t="str">
        <f>IF($B85="","",VLOOKUP($B85,'Start List'!$B$15:$Y$139,V$8,FALSE))</f>
        <v/>
      </c>
      <c r="W85" s="150" t="str">
        <f>IF($B85="","",VLOOKUP($B85,'Start List'!$B$15:$Y$139,W$8,FALSE))</f>
        <v/>
      </c>
      <c r="X85" s="80" t="str">
        <f>IF($B85="","",VLOOKUP($B85,'Start List'!$B$15:$Y$139,X$8,FALSE))</f>
        <v/>
      </c>
      <c r="Y85" s="80" t="str">
        <f>IF($B85="","",VLOOKUP($B85,'Start List'!$B$15:$Y$139,Y$8,FALSE))</f>
        <v/>
      </c>
      <c r="Z85" s="217" t="str">
        <f>IF($B85="","",VLOOKUP($B85,'Start List'!$B$15:$Y$139,Z$8,FALSE))</f>
        <v/>
      </c>
      <c r="AA85" s="218" t="str">
        <f>IF($B85="","",VLOOKUP($B85,'Start List'!$B$15:$Y$139,AA$8,FALSE))</f>
        <v/>
      </c>
      <c r="AB85" s="218" t="str">
        <f>IF($B85="","",VLOOKUP($B85,'Start List'!$B$15:$Y$139,AB$8,FALSE))</f>
        <v/>
      </c>
    </row>
    <row r="86" spans="1:28" ht="12.75" x14ac:dyDescent="0.2">
      <c r="A86" s="75" t="str">
        <f>'Start List'!A92</f>
        <v/>
      </c>
      <c r="B86" s="76" t="str">
        <f>IF(A86="","",LARGE('Start List'!$B$15:$B$139,A86))</f>
        <v/>
      </c>
      <c r="C86" s="76" t="str">
        <f t="shared" si="3"/>
        <v/>
      </c>
      <c r="D86" s="76" t="str">
        <f t="shared" si="4"/>
        <v/>
      </c>
      <c r="E86" s="76" t="str">
        <f t="shared" si="5"/>
        <v/>
      </c>
      <c r="F86" s="80" t="str">
        <f>IF(COUNTIF(Data!$D$2:$D$97,$C86)=0,"",VLOOKUP($C86,Data!$D$2:$H$97,F$8,FALSE))</f>
        <v/>
      </c>
      <c r="G86" s="80" t="str">
        <f>IF(COUNTIF(Data!$D$2:$D$97,$C86)=0,"",VLOOKUP($C86,Data!$D$2:$H$97,G$8,FALSE))</f>
        <v/>
      </c>
      <c r="H86" s="80" t="str">
        <f>IF(COUNTIF(Data!$D$2:$D$97,$C86)=0,"",VLOOKUP($C86,Data!$D$2:$H$97,H$8,FALSE))</f>
        <v/>
      </c>
      <c r="I86" s="80" t="str">
        <f>IF(COUNTIF(Data!$D$2:$D$97,$C86)=0,"",VLOOKUP($C86,Data!$D$2:$H$97,I$8,FALSE))</f>
        <v/>
      </c>
      <c r="J86" s="77" t="str">
        <f>IF(A86="","",VLOOKUP($B86,'Start List'!$B$15:$Y$139,J$8,FALSE))</f>
        <v/>
      </c>
      <c r="K86" s="77" t="str">
        <f>IF(B86="","",VLOOKUP($B86,'Start List'!$B$15:$Y$139,K$8,FALSE))</f>
        <v/>
      </c>
      <c r="L86" s="77" t="str">
        <f>IF(J86="","",VLOOKUP($B86,'Start List'!$B$15:$Y$139,L$8,FALSE))</f>
        <v/>
      </c>
      <c r="M86" s="79" t="str">
        <f>IF(K86="","",VLOOKUP($B86,'Start List'!$B$15:$Y$139,M$8,FALSE))</f>
        <v/>
      </c>
      <c r="N86" s="150" t="str">
        <f>IF($B86="","",VLOOKUP($B86,'Start List'!$B$15:$Y$139,N$8,FALSE))</f>
        <v/>
      </c>
      <c r="O86" s="80" t="str">
        <f>IF($B86="","",VLOOKUP($B86,'Start List'!$B$15:$Y$139,O$8,FALSE))</f>
        <v/>
      </c>
      <c r="P86" s="80" t="str">
        <f>IF($B86="","",VLOOKUP($B86,'Start List'!$B$15:$Y$139,P$8,FALSE))</f>
        <v/>
      </c>
      <c r="Q86" s="150" t="str">
        <f>IF($B86="","",VLOOKUP($B86,'Start List'!$B$15:$Y$139,Q$8,FALSE))</f>
        <v/>
      </c>
      <c r="R86" s="80" t="str">
        <f>IF($B86="","",VLOOKUP($B86,'Start List'!$B$15:$Y$139,R$8,FALSE))</f>
        <v/>
      </c>
      <c r="S86" s="150" t="str">
        <f>IF($B86="","",VLOOKUP($B86,'Start List'!$B$15:$Y$139,S$8,FALSE))</f>
        <v/>
      </c>
      <c r="T86" s="150" t="str">
        <f>IF($B86="","",VLOOKUP($B86,'Start List'!$B$15:$Y$139,T$8,FALSE))</f>
        <v/>
      </c>
      <c r="U86" s="80" t="str">
        <f>IF($B86="","",VLOOKUP($B86,'Start List'!$B$15:$Y$139,U$8,FALSE))</f>
        <v/>
      </c>
      <c r="V86" s="80" t="str">
        <f>IF($B86="","",VLOOKUP($B86,'Start List'!$B$15:$Y$139,V$8,FALSE))</f>
        <v/>
      </c>
      <c r="W86" s="150" t="str">
        <f>IF($B86="","",VLOOKUP($B86,'Start List'!$B$15:$Y$139,W$8,FALSE))</f>
        <v/>
      </c>
      <c r="X86" s="80" t="str">
        <f>IF($B86="","",VLOOKUP($B86,'Start List'!$B$15:$Y$139,X$8,FALSE))</f>
        <v/>
      </c>
      <c r="Y86" s="80" t="str">
        <f>IF($B86="","",VLOOKUP($B86,'Start List'!$B$15:$Y$139,Y$8,FALSE))</f>
        <v/>
      </c>
      <c r="Z86" s="217" t="str">
        <f>IF($B86="","",VLOOKUP($B86,'Start List'!$B$15:$Y$139,Z$8,FALSE))</f>
        <v/>
      </c>
      <c r="AA86" s="218" t="str">
        <f>IF($B86="","",VLOOKUP($B86,'Start List'!$B$15:$Y$139,AA$8,FALSE))</f>
        <v/>
      </c>
      <c r="AB86" s="218" t="str">
        <f>IF($B86="","",VLOOKUP($B86,'Start List'!$B$15:$Y$139,AB$8,FALSE))</f>
        <v/>
      </c>
    </row>
    <row r="87" spans="1:28" ht="12.75" x14ac:dyDescent="0.2">
      <c r="A87" s="75" t="str">
        <f>'Start List'!A93</f>
        <v/>
      </c>
      <c r="B87" s="76" t="str">
        <f>IF(A87="","",LARGE('Start List'!$B$15:$B$139,A87))</f>
        <v/>
      </c>
      <c r="C87" s="76" t="str">
        <f t="shared" si="3"/>
        <v/>
      </c>
      <c r="D87" s="76" t="str">
        <f t="shared" si="4"/>
        <v/>
      </c>
      <c r="E87" s="76" t="str">
        <f t="shared" si="5"/>
        <v/>
      </c>
      <c r="F87" s="80" t="str">
        <f>IF(COUNTIF(Data!$D$2:$D$97,$C87)=0,"",VLOOKUP($C87,Data!$D$2:$H$97,F$8,FALSE))</f>
        <v/>
      </c>
      <c r="G87" s="80" t="str">
        <f>IF(COUNTIF(Data!$D$2:$D$97,$C87)=0,"",VLOOKUP($C87,Data!$D$2:$H$97,G$8,FALSE))</f>
        <v/>
      </c>
      <c r="H87" s="80" t="str">
        <f>IF(COUNTIF(Data!$D$2:$D$97,$C87)=0,"",VLOOKUP($C87,Data!$D$2:$H$97,H$8,FALSE))</f>
        <v/>
      </c>
      <c r="I87" s="80" t="str">
        <f>IF(COUNTIF(Data!$D$2:$D$97,$C87)=0,"",VLOOKUP($C87,Data!$D$2:$H$97,I$8,FALSE))</f>
        <v/>
      </c>
      <c r="J87" s="77" t="str">
        <f>IF(A87="","",VLOOKUP($B87,'Start List'!$B$15:$Y$139,J$8,FALSE))</f>
        <v/>
      </c>
      <c r="K87" s="77" t="str">
        <f>IF(B87="","",VLOOKUP($B87,'Start List'!$B$15:$Y$139,K$8,FALSE))</f>
        <v/>
      </c>
      <c r="L87" s="77" t="str">
        <f>IF(J87="","",VLOOKUP($B87,'Start List'!$B$15:$Y$139,L$8,FALSE))</f>
        <v/>
      </c>
      <c r="M87" s="79" t="str">
        <f>IF(K87="","",VLOOKUP($B87,'Start List'!$B$15:$Y$139,M$8,FALSE))</f>
        <v/>
      </c>
      <c r="N87" s="150" t="str">
        <f>IF($B87="","",VLOOKUP($B87,'Start List'!$B$15:$Y$139,N$8,FALSE))</f>
        <v/>
      </c>
      <c r="O87" s="80" t="str">
        <f>IF($B87="","",VLOOKUP($B87,'Start List'!$B$15:$Y$139,O$8,FALSE))</f>
        <v/>
      </c>
      <c r="P87" s="80" t="str">
        <f>IF($B87="","",VLOOKUP($B87,'Start List'!$B$15:$Y$139,P$8,FALSE))</f>
        <v/>
      </c>
      <c r="Q87" s="150" t="str">
        <f>IF($B87="","",VLOOKUP($B87,'Start List'!$B$15:$Y$139,Q$8,FALSE))</f>
        <v/>
      </c>
      <c r="R87" s="80" t="str">
        <f>IF($B87="","",VLOOKUP($B87,'Start List'!$B$15:$Y$139,R$8,FALSE))</f>
        <v/>
      </c>
      <c r="S87" s="150" t="str">
        <f>IF($B87="","",VLOOKUP($B87,'Start List'!$B$15:$Y$139,S$8,FALSE))</f>
        <v/>
      </c>
      <c r="T87" s="150" t="str">
        <f>IF($B87="","",VLOOKUP($B87,'Start List'!$B$15:$Y$139,T$8,FALSE))</f>
        <v/>
      </c>
      <c r="U87" s="80" t="str">
        <f>IF($B87="","",VLOOKUP($B87,'Start List'!$B$15:$Y$139,U$8,FALSE))</f>
        <v/>
      </c>
      <c r="V87" s="80" t="str">
        <f>IF($B87="","",VLOOKUP($B87,'Start List'!$B$15:$Y$139,V$8,FALSE))</f>
        <v/>
      </c>
      <c r="W87" s="150" t="str">
        <f>IF($B87="","",VLOOKUP($B87,'Start List'!$B$15:$Y$139,W$8,FALSE))</f>
        <v/>
      </c>
      <c r="X87" s="80" t="str">
        <f>IF($B87="","",VLOOKUP($B87,'Start List'!$B$15:$Y$139,X$8,FALSE))</f>
        <v/>
      </c>
      <c r="Y87" s="80" t="str">
        <f>IF($B87="","",VLOOKUP($B87,'Start List'!$B$15:$Y$139,Y$8,FALSE))</f>
        <v/>
      </c>
      <c r="Z87" s="217" t="str">
        <f>IF($B87="","",VLOOKUP($B87,'Start List'!$B$15:$Y$139,Z$8,FALSE))</f>
        <v/>
      </c>
      <c r="AA87" s="218" t="str">
        <f>IF($B87="","",VLOOKUP($B87,'Start List'!$B$15:$Y$139,AA$8,FALSE))</f>
        <v/>
      </c>
      <c r="AB87" s="218" t="str">
        <f>IF($B87="","",VLOOKUP($B87,'Start List'!$B$15:$Y$139,AB$8,FALSE))</f>
        <v/>
      </c>
    </row>
    <row r="88" spans="1:28" ht="12.75" x14ac:dyDescent="0.2">
      <c r="A88" s="75" t="str">
        <f>'Start List'!A94</f>
        <v/>
      </c>
      <c r="B88" s="76" t="str">
        <f>IF(A88="","",LARGE('Start List'!$B$15:$B$139,A88))</f>
        <v/>
      </c>
      <c r="C88" s="76" t="str">
        <f t="shared" si="3"/>
        <v/>
      </c>
      <c r="D88" s="76" t="str">
        <f t="shared" si="4"/>
        <v/>
      </c>
      <c r="E88" s="76" t="str">
        <f t="shared" si="5"/>
        <v/>
      </c>
      <c r="F88" s="80" t="str">
        <f>IF(COUNTIF(Data!$D$2:$D$97,$C88)=0,"",VLOOKUP($C88,Data!$D$2:$H$97,F$8,FALSE))</f>
        <v/>
      </c>
      <c r="G88" s="80" t="str">
        <f>IF(COUNTIF(Data!$D$2:$D$97,$C88)=0,"",VLOOKUP($C88,Data!$D$2:$H$97,G$8,FALSE))</f>
        <v/>
      </c>
      <c r="H88" s="80" t="str">
        <f>IF(COUNTIF(Data!$D$2:$D$97,$C88)=0,"",VLOOKUP($C88,Data!$D$2:$H$97,H$8,FALSE))</f>
        <v/>
      </c>
      <c r="I88" s="80" t="str">
        <f>IF(COUNTIF(Data!$D$2:$D$97,$C88)=0,"",VLOOKUP($C88,Data!$D$2:$H$97,I$8,FALSE))</f>
        <v/>
      </c>
      <c r="J88" s="77" t="str">
        <f>IF(A88="","",VLOOKUP($B88,'Start List'!$B$15:$Y$139,J$8,FALSE))</f>
        <v/>
      </c>
      <c r="K88" s="77" t="str">
        <f>IF(B88="","",VLOOKUP($B88,'Start List'!$B$15:$Y$139,K$8,FALSE))</f>
        <v/>
      </c>
      <c r="L88" s="77" t="str">
        <f>IF(J88="","",VLOOKUP($B88,'Start List'!$B$15:$Y$139,L$8,FALSE))</f>
        <v/>
      </c>
      <c r="M88" s="79" t="str">
        <f>IF(K88="","",VLOOKUP($B88,'Start List'!$B$15:$Y$139,M$8,FALSE))</f>
        <v/>
      </c>
      <c r="N88" s="150" t="str">
        <f>IF($B88="","",VLOOKUP($B88,'Start List'!$B$15:$Y$139,N$8,FALSE))</f>
        <v/>
      </c>
      <c r="O88" s="80" t="str">
        <f>IF($B88="","",VLOOKUP($B88,'Start List'!$B$15:$Y$139,O$8,FALSE))</f>
        <v/>
      </c>
      <c r="P88" s="80" t="str">
        <f>IF($B88="","",VLOOKUP($B88,'Start List'!$B$15:$Y$139,P$8,FALSE))</f>
        <v/>
      </c>
      <c r="Q88" s="150" t="str">
        <f>IF($B88="","",VLOOKUP($B88,'Start List'!$B$15:$Y$139,Q$8,FALSE))</f>
        <v/>
      </c>
      <c r="R88" s="80" t="str">
        <f>IF($B88="","",VLOOKUP($B88,'Start List'!$B$15:$Y$139,R$8,FALSE))</f>
        <v/>
      </c>
      <c r="S88" s="150" t="str">
        <f>IF($B88="","",VLOOKUP($B88,'Start List'!$B$15:$Y$139,S$8,FALSE))</f>
        <v/>
      </c>
      <c r="T88" s="150" t="str">
        <f>IF($B88="","",VLOOKUP($B88,'Start List'!$B$15:$Y$139,T$8,FALSE))</f>
        <v/>
      </c>
      <c r="U88" s="80" t="str">
        <f>IF($B88="","",VLOOKUP($B88,'Start List'!$B$15:$Y$139,U$8,FALSE))</f>
        <v/>
      </c>
      <c r="V88" s="80" t="str">
        <f>IF($B88="","",VLOOKUP($B88,'Start List'!$B$15:$Y$139,V$8,FALSE))</f>
        <v/>
      </c>
      <c r="W88" s="150" t="str">
        <f>IF($B88="","",VLOOKUP($B88,'Start List'!$B$15:$Y$139,W$8,FALSE))</f>
        <v/>
      </c>
      <c r="X88" s="80" t="str">
        <f>IF($B88="","",VLOOKUP($B88,'Start List'!$B$15:$Y$139,X$8,FALSE))</f>
        <v/>
      </c>
      <c r="Y88" s="80" t="str">
        <f>IF($B88="","",VLOOKUP($B88,'Start List'!$B$15:$Y$139,Y$8,FALSE))</f>
        <v/>
      </c>
      <c r="Z88" s="217" t="str">
        <f>IF($B88="","",VLOOKUP($B88,'Start List'!$B$15:$Y$139,Z$8,FALSE))</f>
        <v/>
      </c>
      <c r="AA88" s="218" t="str">
        <f>IF($B88="","",VLOOKUP($B88,'Start List'!$B$15:$Y$139,AA$8,FALSE))</f>
        <v/>
      </c>
      <c r="AB88" s="218" t="str">
        <f>IF($B88="","",VLOOKUP($B88,'Start List'!$B$15:$Y$139,AB$8,FALSE))</f>
        <v/>
      </c>
    </row>
    <row r="89" spans="1:28" ht="12.75" x14ac:dyDescent="0.2">
      <c r="A89" s="75" t="str">
        <f>'Start List'!A95</f>
        <v/>
      </c>
      <c r="B89" s="76" t="str">
        <f>IF(A89="","",LARGE('Start List'!$B$15:$B$139,A89))</f>
        <v/>
      </c>
      <c r="C89" s="76" t="str">
        <f t="shared" si="3"/>
        <v/>
      </c>
      <c r="D89" s="76" t="str">
        <f t="shared" si="4"/>
        <v/>
      </c>
      <c r="E89" s="76" t="str">
        <f t="shared" si="5"/>
        <v/>
      </c>
      <c r="F89" s="80" t="str">
        <f>IF(COUNTIF(Data!$D$2:$D$97,$C89)=0,"",VLOOKUP($C89,Data!$D$2:$H$97,F$8,FALSE))</f>
        <v/>
      </c>
      <c r="G89" s="80" t="str">
        <f>IF(COUNTIF(Data!$D$2:$D$97,$C89)=0,"",VLOOKUP($C89,Data!$D$2:$H$97,G$8,FALSE))</f>
        <v/>
      </c>
      <c r="H89" s="80" t="str">
        <f>IF(COUNTIF(Data!$D$2:$D$97,$C89)=0,"",VLOOKUP($C89,Data!$D$2:$H$97,H$8,FALSE))</f>
        <v/>
      </c>
      <c r="I89" s="80" t="str">
        <f>IF(COUNTIF(Data!$D$2:$D$97,$C89)=0,"",VLOOKUP($C89,Data!$D$2:$H$97,I$8,FALSE))</f>
        <v/>
      </c>
      <c r="J89" s="77" t="str">
        <f>IF(A89="","",VLOOKUP($B89,'Start List'!$B$15:$Y$139,J$8,FALSE))</f>
        <v/>
      </c>
      <c r="K89" s="77" t="str">
        <f>IF(B89="","",VLOOKUP($B89,'Start List'!$B$15:$Y$139,K$8,FALSE))</f>
        <v/>
      </c>
      <c r="L89" s="77" t="str">
        <f>IF(J89="","",VLOOKUP($B89,'Start List'!$B$15:$Y$139,L$8,FALSE))</f>
        <v/>
      </c>
      <c r="M89" s="79" t="str">
        <f>IF(K89="","",VLOOKUP($B89,'Start List'!$B$15:$Y$139,M$8,FALSE))</f>
        <v/>
      </c>
      <c r="N89" s="150" t="str">
        <f>IF($B89="","",VLOOKUP($B89,'Start List'!$B$15:$Y$139,N$8,FALSE))</f>
        <v/>
      </c>
      <c r="O89" s="80" t="str">
        <f>IF($B89="","",VLOOKUP($B89,'Start List'!$B$15:$Y$139,O$8,FALSE))</f>
        <v/>
      </c>
      <c r="P89" s="80" t="str">
        <f>IF($B89="","",VLOOKUP($B89,'Start List'!$B$15:$Y$139,P$8,FALSE))</f>
        <v/>
      </c>
      <c r="Q89" s="150" t="str">
        <f>IF($B89="","",VLOOKUP($B89,'Start List'!$B$15:$Y$139,Q$8,FALSE))</f>
        <v/>
      </c>
      <c r="R89" s="80" t="str">
        <f>IF($B89="","",VLOOKUP($B89,'Start List'!$B$15:$Y$139,R$8,FALSE))</f>
        <v/>
      </c>
      <c r="S89" s="150" t="str">
        <f>IF($B89="","",VLOOKUP($B89,'Start List'!$B$15:$Y$139,S$8,FALSE))</f>
        <v/>
      </c>
      <c r="T89" s="150" t="str">
        <f>IF($B89="","",VLOOKUP($B89,'Start List'!$B$15:$Y$139,T$8,FALSE))</f>
        <v/>
      </c>
      <c r="U89" s="80" t="str">
        <f>IF($B89="","",VLOOKUP($B89,'Start List'!$B$15:$Y$139,U$8,FALSE))</f>
        <v/>
      </c>
      <c r="V89" s="80" t="str">
        <f>IF($B89="","",VLOOKUP($B89,'Start List'!$B$15:$Y$139,V$8,FALSE))</f>
        <v/>
      </c>
      <c r="W89" s="150" t="str">
        <f>IF($B89="","",VLOOKUP($B89,'Start List'!$B$15:$Y$139,W$8,FALSE))</f>
        <v/>
      </c>
      <c r="X89" s="80" t="str">
        <f>IF($B89="","",VLOOKUP($B89,'Start List'!$B$15:$Y$139,X$8,FALSE))</f>
        <v/>
      </c>
      <c r="Y89" s="80" t="str">
        <f>IF($B89="","",VLOOKUP($B89,'Start List'!$B$15:$Y$139,Y$8,FALSE))</f>
        <v/>
      </c>
      <c r="Z89" s="217" t="str">
        <f>IF($B89="","",VLOOKUP($B89,'Start List'!$B$15:$Y$139,Z$8,FALSE))</f>
        <v/>
      </c>
      <c r="AA89" s="218" t="str">
        <f>IF($B89="","",VLOOKUP($B89,'Start List'!$B$15:$Y$139,AA$8,FALSE))</f>
        <v/>
      </c>
      <c r="AB89" s="218" t="str">
        <f>IF($B89="","",VLOOKUP($B89,'Start List'!$B$15:$Y$139,AB$8,FALSE))</f>
        <v/>
      </c>
    </row>
    <row r="90" spans="1:28" ht="12.75" x14ac:dyDescent="0.2">
      <c r="A90" s="75" t="str">
        <f>'Start List'!A96</f>
        <v/>
      </c>
      <c r="B90" s="76" t="str">
        <f>IF(A90="","",LARGE('Start List'!$B$15:$B$139,A90))</f>
        <v/>
      </c>
      <c r="C90" s="76" t="str">
        <f t="shared" si="3"/>
        <v/>
      </c>
      <c r="D90" s="76" t="str">
        <f t="shared" si="4"/>
        <v/>
      </c>
      <c r="E90" s="76" t="str">
        <f t="shared" si="5"/>
        <v/>
      </c>
      <c r="F90" s="80" t="str">
        <f>IF(COUNTIF(Data!$D$2:$D$97,$C90)=0,"",VLOOKUP($C90,Data!$D$2:$H$97,F$8,FALSE))</f>
        <v/>
      </c>
      <c r="G90" s="80" t="str">
        <f>IF(COUNTIF(Data!$D$2:$D$97,$C90)=0,"",VLOOKUP($C90,Data!$D$2:$H$97,G$8,FALSE))</f>
        <v/>
      </c>
      <c r="H90" s="80" t="str">
        <f>IF(COUNTIF(Data!$D$2:$D$97,$C90)=0,"",VLOOKUP($C90,Data!$D$2:$H$97,H$8,FALSE))</f>
        <v/>
      </c>
      <c r="I90" s="80" t="str">
        <f>IF(COUNTIF(Data!$D$2:$D$97,$C90)=0,"",VLOOKUP($C90,Data!$D$2:$H$97,I$8,FALSE))</f>
        <v/>
      </c>
      <c r="J90" s="77" t="str">
        <f>IF(A90="","",VLOOKUP($B90,'Start List'!$B$15:$Y$139,J$8,FALSE))</f>
        <v/>
      </c>
      <c r="K90" s="77" t="str">
        <f>IF(B90="","",VLOOKUP($B90,'Start List'!$B$15:$Y$139,K$8,FALSE))</f>
        <v/>
      </c>
      <c r="L90" s="77" t="str">
        <f>IF(J90="","",VLOOKUP($B90,'Start List'!$B$15:$Y$139,L$8,FALSE))</f>
        <v/>
      </c>
      <c r="M90" s="79" t="str">
        <f>IF(K90="","",VLOOKUP($B90,'Start List'!$B$15:$Y$139,M$8,FALSE))</f>
        <v/>
      </c>
      <c r="N90" s="150" t="str">
        <f>IF($B90="","",VLOOKUP($B90,'Start List'!$B$15:$Y$139,N$8,FALSE))</f>
        <v/>
      </c>
      <c r="O90" s="80" t="str">
        <f>IF($B90="","",VLOOKUP($B90,'Start List'!$B$15:$Y$139,O$8,FALSE))</f>
        <v/>
      </c>
      <c r="P90" s="80" t="str">
        <f>IF($B90="","",VLOOKUP($B90,'Start List'!$B$15:$Y$139,P$8,FALSE))</f>
        <v/>
      </c>
      <c r="Q90" s="150" t="str">
        <f>IF($B90="","",VLOOKUP($B90,'Start List'!$B$15:$Y$139,Q$8,FALSE))</f>
        <v/>
      </c>
      <c r="R90" s="80" t="str">
        <f>IF($B90="","",VLOOKUP($B90,'Start List'!$B$15:$Y$139,R$8,FALSE))</f>
        <v/>
      </c>
      <c r="S90" s="150" t="str">
        <f>IF($B90="","",VLOOKUP($B90,'Start List'!$B$15:$Y$139,S$8,FALSE))</f>
        <v/>
      </c>
      <c r="T90" s="150" t="str">
        <f>IF($B90="","",VLOOKUP($B90,'Start List'!$B$15:$Y$139,T$8,FALSE))</f>
        <v/>
      </c>
      <c r="U90" s="80" t="str">
        <f>IF($B90="","",VLOOKUP($B90,'Start List'!$B$15:$Y$139,U$8,FALSE))</f>
        <v/>
      </c>
      <c r="V90" s="80" t="str">
        <f>IF($B90="","",VLOOKUP($B90,'Start List'!$B$15:$Y$139,V$8,FALSE))</f>
        <v/>
      </c>
      <c r="W90" s="150" t="str">
        <f>IF($B90="","",VLOOKUP($B90,'Start List'!$B$15:$Y$139,W$8,FALSE))</f>
        <v/>
      </c>
      <c r="X90" s="80" t="str">
        <f>IF($B90="","",VLOOKUP($B90,'Start List'!$B$15:$Y$139,X$8,FALSE))</f>
        <v/>
      </c>
      <c r="Y90" s="80" t="str">
        <f>IF($B90="","",VLOOKUP($B90,'Start List'!$B$15:$Y$139,Y$8,FALSE))</f>
        <v/>
      </c>
      <c r="Z90" s="217" t="str">
        <f>IF($B90="","",VLOOKUP($B90,'Start List'!$B$15:$Y$139,Z$8,FALSE))</f>
        <v/>
      </c>
      <c r="AA90" s="218" t="str">
        <f>IF($B90="","",VLOOKUP($B90,'Start List'!$B$15:$Y$139,AA$8,FALSE))</f>
        <v/>
      </c>
      <c r="AB90" s="218" t="str">
        <f>IF($B90="","",VLOOKUP($B90,'Start List'!$B$15:$Y$139,AB$8,FALSE))</f>
        <v/>
      </c>
    </row>
    <row r="91" spans="1:28" ht="12.75" x14ac:dyDescent="0.2">
      <c r="A91" s="75" t="str">
        <f>'Start List'!A97</f>
        <v/>
      </c>
      <c r="B91" s="76" t="str">
        <f>IF(A91="","",LARGE('Start List'!$B$15:$B$139,A91))</f>
        <v/>
      </c>
      <c r="C91" s="76" t="str">
        <f t="shared" si="3"/>
        <v/>
      </c>
      <c r="D91" s="76" t="str">
        <f t="shared" si="4"/>
        <v/>
      </c>
      <c r="E91" s="76" t="str">
        <f t="shared" si="5"/>
        <v/>
      </c>
      <c r="F91" s="80" t="str">
        <f>IF(COUNTIF(Data!$D$2:$D$97,$C91)=0,"",VLOOKUP($C91,Data!$D$2:$H$97,F$8,FALSE))</f>
        <v/>
      </c>
      <c r="G91" s="80" t="str">
        <f>IF(COUNTIF(Data!$D$2:$D$97,$C91)=0,"",VLOOKUP($C91,Data!$D$2:$H$97,G$8,FALSE))</f>
        <v/>
      </c>
      <c r="H91" s="80" t="str">
        <f>IF(COUNTIF(Data!$D$2:$D$97,$C91)=0,"",VLOOKUP($C91,Data!$D$2:$H$97,H$8,FALSE))</f>
        <v/>
      </c>
      <c r="I91" s="80" t="str">
        <f>IF(COUNTIF(Data!$D$2:$D$97,$C91)=0,"",VLOOKUP($C91,Data!$D$2:$H$97,I$8,FALSE))</f>
        <v/>
      </c>
      <c r="J91" s="77" t="str">
        <f>IF(A91="","",VLOOKUP($B91,'Start List'!$B$15:$Y$139,J$8,FALSE))</f>
        <v/>
      </c>
      <c r="K91" s="77" t="str">
        <f>IF(B91="","",VLOOKUP($B91,'Start List'!$B$15:$Y$139,K$8,FALSE))</f>
        <v/>
      </c>
      <c r="L91" s="77" t="str">
        <f>IF(J91="","",VLOOKUP($B91,'Start List'!$B$15:$Y$139,L$8,FALSE))</f>
        <v/>
      </c>
      <c r="M91" s="79" t="str">
        <f>IF(K91="","",VLOOKUP($B91,'Start List'!$B$15:$Y$139,M$8,FALSE))</f>
        <v/>
      </c>
      <c r="N91" s="150" t="str">
        <f>IF($B91="","",VLOOKUP($B91,'Start List'!$B$15:$Y$139,N$8,FALSE))</f>
        <v/>
      </c>
      <c r="O91" s="80" t="str">
        <f>IF($B91="","",VLOOKUP($B91,'Start List'!$B$15:$Y$139,O$8,FALSE))</f>
        <v/>
      </c>
      <c r="P91" s="80" t="str">
        <f>IF($B91="","",VLOOKUP($B91,'Start List'!$B$15:$Y$139,P$8,FALSE))</f>
        <v/>
      </c>
      <c r="Q91" s="150" t="str">
        <f>IF($B91="","",VLOOKUP($B91,'Start List'!$B$15:$Y$139,Q$8,FALSE))</f>
        <v/>
      </c>
      <c r="R91" s="80" t="str">
        <f>IF($B91="","",VLOOKUP($B91,'Start List'!$B$15:$Y$139,R$8,FALSE))</f>
        <v/>
      </c>
      <c r="S91" s="150" t="str">
        <f>IF($B91="","",VLOOKUP($B91,'Start List'!$B$15:$Y$139,S$8,FALSE))</f>
        <v/>
      </c>
      <c r="T91" s="150" t="str">
        <f>IF($B91="","",VLOOKUP($B91,'Start List'!$B$15:$Y$139,T$8,FALSE))</f>
        <v/>
      </c>
      <c r="U91" s="80" t="str">
        <f>IF($B91="","",VLOOKUP($B91,'Start List'!$B$15:$Y$139,U$8,FALSE))</f>
        <v/>
      </c>
      <c r="V91" s="80" t="str">
        <f>IF($B91="","",VLOOKUP($B91,'Start List'!$B$15:$Y$139,V$8,FALSE))</f>
        <v/>
      </c>
      <c r="W91" s="150" t="str">
        <f>IF($B91="","",VLOOKUP($B91,'Start List'!$B$15:$Y$139,W$8,FALSE))</f>
        <v/>
      </c>
      <c r="X91" s="80" t="str">
        <f>IF($B91="","",VLOOKUP($B91,'Start List'!$B$15:$Y$139,X$8,FALSE))</f>
        <v/>
      </c>
      <c r="Y91" s="80" t="str">
        <f>IF($B91="","",VLOOKUP($B91,'Start List'!$B$15:$Y$139,Y$8,FALSE))</f>
        <v/>
      </c>
      <c r="Z91" s="217" t="str">
        <f>IF($B91="","",VLOOKUP($B91,'Start List'!$B$15:$Y$139,Z$8,FALSE))</f>
        <v/>
      </c>
      <c r="AA91" s="218" t="str">
        <f>IF($B91="","",VLOOKUP($B91,'Start List'!$B$15:$Y$139,AA$8,FALSE))</f>
        <v/>
      </c>
      <c r="AB91" s="218" t="str">
        <f>IF($B91="","",VLOOKUP($B91,'Start List'!$B$15:$Y$139,AB$8,FALSE))</f>
        <v/>
      </c>
    </row>
    <row r="92" spans="1:28" ht="12.75" x14ac:dyDescent="0.2">
      <c r="A92" s="75" t="str">
        <f>'Start List'!A98</f>
        <v/>
      </c>
      <c r="B92" s="76" t="str">
        <f>IF(A92="","",LARGE('Start List'!$B$15:$B$139,A92))</f>
        <v/>
      </c>
      <c r="C92" s="76" t="str">
        <f t="shared" si="3"/>
        <v/>
      </c>
      <c r="D92" s="76" t="str">
        <f t="shared" si="4"/>
        <v/>
      </c>
      <c r="E92" s="76" t="str">
        <f t="shared" si="5"/>
        <v/>
      </c>
      <c r="F92" s="80" t="str">
        <f>IF(COUNTIF(Data!$D$2:$D$97,$C92)=0,"",VLOOKUP($C92,Data!$D$2:$H$97,F$8,FALSE))</f>
        <v/>
      </c>
      <c r="G92" s="80" t="str">
        <f>IF(COUNTIF(Data!$D$2:$D$97,$C92)=0,"",VLOOKUP($C92,Data!$D$2:$H$97,G$8,FALSE))</f>
        <v/>
      </c>
      <c r="H92" s="80" t="str">
        <f>IF(COUNTIF(Data!$D$2:$D$97,$C92)=0,"",VLOOKUP($C92,Data!$D$2:$H$97,H$8,FALSE))</f>
        <v/>
      </c>
      <c r="I92" s="80" t="str">
        <f>IF(COUNTIF(Data!$D$2:$D$97,$C92)=0,"",VLOOKUP($C92,Data!$D$2:$H$97,I$8,FALSE))</f>
        <v/>
      </c>
      <c r="J92" s="77" t="str">
        <f>IF(A92="","",VLOOKUP($B92,'Start List'!$B$15:$Y$139,J$8,FALSE))</f>
        <v/>
      </c>
      <c r="K92" s="77" t="str">
        <f>IF(B92="","",VLOOKUP($B92,'Start List'!$B$15:$Y$139,K$8,FALSE))</f>
        <v/>
      </c>
      <c r="L92" s="77" t="str">
        <f>IF(J92="","",VLOOKUP($B92,'Start List'!$B$15:$Y$139,L$8,FALSE))</f>
        <v/>
      </c>
      <c r="M92" s="79" t="str">
        <f>IF(K92="","",VLOOKUP($B92,'Start List'!$B$15:$Y$139,M$8,FALSE))</f>
        <v/>
      </c>
      <c r="N92" s="150" t="str">
        <f>IF($B92="","",VLOOKUP($B92,'Start List'!$B$15:$Y$139,N$8,FALSE))</f>
        <v/>
      </c>
      <c r="O92" s="80" t="str">
        <f>IF($B92="","",VLOOKUP($B92,'Start List'!$B$15:$Y$139,O$8,FALSE))</f>
        <v/>
      </c>
      <c r="P92" s="80" t="str">
        <f>IF($B92="","",VLOOKUP($B92,'Start List'!$B$15:$Y$139,P$8,FALSE))</f>
        <v/>
      </c>
      <c r="Q92" s="150" t="str">
        <f>IF($B92="","",VLOOKUP($B92,'Start List'!$B$15:$Y$139,Q$8,FALSE))</f>
        <v/>
      </c>
      <c r="R92" s="80" t="str">
        <f>IF($B92="","",VLOOKUP($B92,'Start List'!$B$15:$Y$139,R$8,FALSE))</f>
        <v/>
      </c>
      <c r="S92" s="150" t="str">
        <f>IF($B92="","",VLOOKUP($B92,'Start List'!$B$15:$Y$139,S$8,FALSE))</f>
        <v/>
      </c>
      <c r="T92" s="150" t="str">
        <f>IF($B92="","",VLOOKUP($B92,'Start List'!$B$15:$Y$139,T$8,FALSE))</f>
        <v/>
      </c>
      <c r="U92" s="80" t="str">
        <f>IF($B92="","",VLOOKUP($B92,'Start List'!$B$15:$Y$139,U$8,FALSE))</f>
        <v/>
      </c>
      <c r="V92" s="80" t="str">
        <f>IF($B92="","",VLOOKUP($B92,'Start List'!$B$15:$Y$139,V$8,FALSE))</f>
        <v/>
      </c>
      <c r="W92" s="150" t="str">
        <f>IF($B92="","",VLOOKUP($B92,'Start List'!$B$15:$Y$139,W$8,FALSE))</f>
        <v/>
      </c>
      <c r="X92" s="80" t="str">
        <f>IF($B92="","",VLOOKUP($B92,'Start List'!$B$15:$Y$139,X$8,FALSE))</f>
        <v/>
      </c>
      <c r="Y92" s="80" t="str">
        <f>IF($B92="","",VLOOKUP($B92,'Start List'!$B$15:$Y$139,Y$8,FALSE))</f>
        <v/>
      </c>
      <c r="Z92" s="217" t="str">
        <f>IF($B92="","",VLOOKUP($B92,'Start List'!$B$15:$Y$139,Z$8,FALSE))</f>
        <v/>
      </c>
      <c r="AA92" s="218" t="str">
        <f>IF($B92="","",VLOOKUP($B92,'Start List'!$B$15:$Y$139,AA$8,FALSE))</f>
        <v/>
      </c>
      <c r="AB92" s="218" t="str">
        <f>IF($B92="","",VLOOKUP($B92,'Start List'!$B$15:$Y$139,AB$8,FALSE))</f>
        <v/>
      </c>
    </row>
    <row r="93" spans="1:28" ht="12.75" x14ac:dyDescent="0.2">
      <c r="A93" s="75" t="str">
        <f>'Start List'!A99</f>
        <v/>
      </c>
      <c r="B93" s="76" t="str">
        <f>IF(A93="","",LARGE('Start List'!$B$15:$B$139,A93))</f>
        <v/>
      </c>
      <c r="C93" s="76" t="str">
        <f t="shared" si="3"/>
        <v/>
      </c>
      <c r="D93" s="76" t="str">
        <f t="shared" si="4"/>
        <v/>
      </c>
      <c r="E93" s="76" t="str">
        <f t="shared" si="5"/>
        <v/>
      </c>
      <c r="F93" s="80" t="str">
        <f>IF(COUNTIF(Data!$D$2:$D$97,$C93)=0,"",VLOOKUP($C93,Data!$D$2:$H$97,F$8,FALSE))</f>
        <v/>
      </c>
      <c r="G93" s="80" t="str">
        <f>IF(COUNTIF(Data!$D$2:$D$97,$C93)=0,"",VLOOKUP($C93,Data!$D$2:$H$97,G$8,FALSE))</f>
        <v/>
      </c>
      <c r="H93" s="80" t="str">
        <f>IF(COUNTIF(Data!$D$2:$D$97,$C93)=0,"",VLOOKUP($C93,Data!$D$2:$H$97,H$8,FALSE))</f>
        <v/>
      </c>
      <c r="I93" s="80" t="str">
        <f>IF(COUNTIF(Data!$D$2:$D$97,$C93)=0,"",VLOOKUP($C93,Data!$D$2:$H$97,I$8,FALSE))</f>
        <v/>
      </c>
      <c r="J93" s="77" t="str">
        <f>IF(A93="","",VLOOKUP($B93,'Start List'!$B$15:$Y$139,J$8,FALSE))</f>
        <v/>
      </c>
      <c r="K93" s="77" t="str">
        <f>IF(B93="","",VLOOKUP($B93,'Start List'!$B$15:$Y$139,K$8,FALSE))</f>
        <v/>
      </c>
      <c r="L93" s="77" t="str">
        <f>IF(J93="","",VLOOKUP($B93,'Start List'!$B$15:$Y$139,L$8,FALSE))</f>
        <v/>
      </c>
      <c r="M93" s="79" t="str">
        <f>IF(K93="","",VLOOKUP($B93,'Start List'!$B$15:$Y$139,M$8,FALSE))</f>
        <v/>
      </c>
      <c r="N93" s="150" t="str">
        <f>IF($B93="","",VLOOKUP($B93,'Start List'!$B$15:$Y$139,N$8,FALSE))</f>
        <v/>
      </c>
      <c r="O93" s="80" t="str">
        <f>IF($B93="","",VLOOKUP($B93,'Start List'!$B$15:$Y$139,O$8,FALSE))</f>
        <v/>
      </c>
      <c r="P93" s="80" t="str">
        <f>IF($B93="","",VLOOKUP($B93,'Start List'!$B$15:$Y$139,P$8,FALSE))</f>
        <v/>
      </c>
      <c r="Q93" s="150" t="str">
        <f>IF($B93="","",VLOOKUP($B93,'Start List'!$B$15:$Y$139,Q$8,FALSE))</f>
        <v/>
      </c>
      <c r="R93" s="80" t="str">
        <f>IF($B93="","",VLOOKUP($B93,'Start List'!$B$15:$Y$139,R$8,FALSE))</f>
        <v/>
      </c>
      <c r="S93" s="150" t="str">
        <f>IF($B93="","",VLOOKUP($B93,'Start List'!$B$15:$Y$139,S$8,FALSE))</f>
        <v/>
      </c>
      <c r="T93" s="150" t="str">
        <f>IF($B93="","",VLOOKUP($B93,'Start List'!$B$15:$Y$139,T$8,FALSE))</f>
        <v/>
      </c>
      <c r="U93" s="80" t="str">
        <f>IF($B93="","",VLOOKUP($B93,'Start List'!$B$15:$Y$139,U$8,FALSE))</f>
        <v/>
      </c>
      <c r="V93" s="80" t="str">
        <f>IF($B93="","",VLOOKUP($B93,'Start List'!$B$15:$Y$139,V$8,FALSE))</f>
        <v/>
      </c>
      <c r="W93" s="150" t="str">
        <f>IF($B93="","",VLOOKUP($B93,'Start List'!$B$15:$Y$139,W$8,FALSE))</f>
        <v/>
      </c>
      <c r="X93" s="80" t="str">
        <f>IF($B93="","",VLOOKUP($B93,'Start List'!$B$15:$Y$139,X$8,FALSE))</f>
        <v/>
      </c>
      <c r="Y93" s="80" t="str">
        <f>IF($B93="","",VLOOKUP($B93,'Start List'!$B$15:$Y$139,Y$8,FALSE))</f>
        <v/>
      </c>
      <c r="Z93" s="217" t="str">
        <f>IF($B93="","",VLOOKUP($B93,'Start List'!$B$15:$Y$139,Z$8,FALSE))</f>
        <v/>
      </c>
      <c r="AA93" s="218" t="str">
        <f>IF($B93="","",VLOOKUP($B93,'Start List'!$B$15:$Y$139,AA$8,FALSE))</f>
        <v/>
      </c>
      <c r="AB93" s="218" t="str">
        <f>IF($B93="","",VLOOKUP($B93,'Start List'!$B$15:$Y$139,AB$8,FALSE))</f>
        <v/>
      </c>
    </row>
    <row r="94" spans="1:28" ht="12.75" x14ac:dyDescent="0.2">
      <c r="A94" s="75" t="str">
        <f>'Start List'!A100</f>
        <v/>
      </c>
      <c r="B94" s="76" t="str">
        <f>IF(A94="","",LARGE('Start List'!$B$15:$B$139,A94))</f>
        <v/>
      </c>
      <c r="C94" s="76" t="str">
        <f t="shared" si="3"/>
        <v/>
      </c>
      <c r="D94" s="76" t="str">
        <f t="shared" si="4"/>
        <v/>
      </c>
      <c r="E94" s="76" t="str">
        <f t="shared" si="5"/>
        <v/>
      </c>
      <c r="F94" s="80" t="str">
        <f>IF(COUNTIF(Data!$D$2:$D$97,$C94)=0,"",VLOOKUP($C94,Data!$D$2:$H$97,F$8,FALSE))</f>
        <v/>
      </c>
      <c r="G94" s="80" t="str">
        <f>IF(COUNTIF(Data!$D$2:$D$97,$C94)=0,"",VLOOKUP($C94,Data!$D$2:$H$97,G$8,FALSE))</f>
        <v/>
      </c>
      <c r="H94" s="80" t="str">
        <f>IF(COUNTIF(Data!$D$2:$D$97,$C94)=0,"",VLOOKUP($C94,Data!$D$2:$H$97,H$8,FALSE))</f>
        <v/>
      </c>
      <c r="I94" s="80" t="str">
        <f>IF(COUNTIF(Data!$D$2:$D$97,$C94)=0,"",VLOOKUP($C94,Data!$D$2:$H$97,I$8,FALSE))</f>
        <v/>
      </c>
      <c r="J94" s="77" t="str">
        <f>IF(A94="","",VLOOKUP($B94,'Start List'!$B$15:$Y$139,J$8,FALSE))</f>
        <v/>
      </c>
      <c r="K94" s="77" t="str">
        <f>IF(B94="","",VLOOKUP($B94,'Start List'!$B$15:$Y$139,K$8,FALSE))</f>
        <v/>
      </c>
      <c r="L94" s="77" t="str">
        <f>IF(J94="","",VLOOKUP($B94,'Start List'!$B$15:$Y$139,L$8,FALSE))</f>
        <v/>
      </c>
      <c r="M94" s="79" t="str">
        <f>IF(K94="","",VLOOKUP($B94,'Start List'!$B$15:$Y$139,M$8,FALSE))</f>
        <v/>
      </c>
      <c r="N94" s="150" t="str">
        <f>IF($B94="","",VLOOKUP($B94,'Start List'!$B$15:$Y$139,N$8,FALSE))</f>
        <v/>
      </c>
      <c r="O94" s="80" t="str">
        <f>IF($B94="","",VLOOKUP($B94,'Start List'!$B$15:$Y$139,O$8,FALSE))</f>
        <v/>
      </c>
      <c r="P94" s="80" t="str">
        <f>IF($B94="","",VLOOKUP($B94,'Start List'!$B$15:$Y$139,P$8,FALSE))</f>
        <v/>
      </c>
      <c r="Q94" s="150" t="str">
        <f>IF($B94="","",VLOOKUP($B94,'Start List'!$B$15:$Y$139,Q$8,FALSE))</f>
        <v/>
      </c>
      <c r="R94" s="80" t="str">
        <f>IF($B94="","",VLOOKUP($B94,'Start List'!$B$15:$Y$139,R$8,FALSE))</f>
        <v/>
      </c>
      <c r="S94" s="150" t="str">
        <f>IF($B94="","",VLOOKUP($B94,'Start List'!$B$15:$Y$139,S$8,FALSE))</f>
        <v/>
      </c>
      <c r="T94" s="150" t="str">
        <f>IF($B94="","",VLOOKUP($B94,'Start List'!$B$15:$Y$139,T$8,FALSE))</f>
        <v/>
      </c>
      <c r="U94" s="80" t="str">
        <f>IF($B94="","",VLOOKUP($B94,'Start List'!$B$15:$Y$139,U$8,FALSE))</f>
        <v/>
      </c>
      <c r="V94" s="80" t="str">
        <f>IF($B94="","",VLOOKUP($B94,'Start List'!$B$15:$Y$139,V$8,FALSE))</f>
        <v/>
      </c>
      <c r="W94" s="150" t="str">
        <f>IF($B94="","",VLOOKUP($B94,'Start List'!$B$15:$Y$139,W$8,FALSE))</f>
        <v/>
      </c>
      <c r="X94" s="80" t="str">
        <f>IF($B94="","",VLOOKUP($B94,'Start List'!$B$15:$Y$139,X$8,FALSE))</f>
        <v/>
      </c>
      <c r="Y94" s="80" t="str">
        <f>IF($B94="","",VLOOKUP($B94,'Start List'!$B$15:$Y$139,Y$8,FALSE))</f>
        <v/>
      </c>
      <c r="Z94" s="217" t="str">
        <f>IF($B94="","",VLOOKUP($B94,'Start List'!$B$15:$Y$139,Z$8,FALSE))</f>
        <v/>
      </c>
      <c r="AA94" s="218" t="str">
        <f>IF($B94="","",VLOOKUP($B94,'Start List'!$B$15:$Y$139,AA$8,FALSE))</f>
        <v/>
      </c>
      <c r="AB94" s="218" t="str">
        <f>IF($B94="","",VLOOKUP($B94,'Start List'!$B$15:$Y$139,AB$8,FALSE))</f>
        <v/>
      </c>
    </row>
    <row r="95" spans="1:28" ht="12.75" x14ac:dyDescent="0.2">
      <c r="A95" s="75" t="str">
        <f>'Start List'!A101</f>
        <v/>
      </c>
      <c r="B95" s="76" t="str">
        <f>IF(A95="","",LARGE('Start List'!$B$15:$B$139,A95))</f>
        <v/>
      </c>
      <c r="C95" s="76" t="str">
        <f t="shared" si="3"/>
        <v/>
      </c>
      <c r="D95" s="76" t="str">
        <f t="shared" si="4"/>
        <v/>
      </c>
      <c r="E95" s="76" t="str">
        <f t="shared" si="5"/>
        <v/>
      </c>
      <c r="F95" s="80" t="str">
        <f>IF(COUNTIF(Data!$D$2:$D$97,$C95)=0,"",VLOOKUP($C95,Data!$D$2:$H$97,F$8,FALSE))</f>
        <v/>
      </c>
      <c r="G95" s="80" t="str">
        <f>IF(COUNTIF(Data!$D$2:$D$97,$C95)=0,"",VLOOKUP($C95,Data!$D$2:$H$97,G$8,FALSE))</f>
        <v/>
      </c>
      <c r="H95" s="80" t="str">
        <f>IF(COUNTIF(Data!$D$2:$D$97,$C95)=0,"",VLOOKUP($C95,Data!$D$2:$H$97,H$8,FALSE))</f>
        <v/>
      </c>
      <c r="I95" s="80" t="str">
        <f>IF(COUNTIF(Data!$D$2:$D$97,$C95)=0,"",VLOOKUP($C95,Data!$D$2:$H$97,I$8,FALSE))</f>
        <v/>
      </c>
      <c r="J95" s="77" t="str">
        <f>IF(A95="","",VLOOKUP($B95,'Start List'!$B$15:$Y$139,J$8,FALSE))</f>
        <v/>
      </c>
      <c r="K95" s="77" t="str">
        <f>IF(B95="","",VLOOKUP($B95,'Start List'!$B$15:$Y$139,K$8,FALSE))</f>
        <v/>
      </c>
      <c r="L95" s="77" t="str">
        <f>IF(J95="","",VLOOKUP($B95,'Start List'!$B$15:$Y$139,L$8,FALSE))</f>
        <v/>
      </c>
      <c r="M95" s="79" t="str">
        <f>IF(K95="","",VLOOKUP($B95,'Start List'!$B$15:$Y$139,M$8,FALSE))</f>
        <v/>
      </c>
      <c r="N95" s="150" t="str">
        <f>IF($B95="","",VLOOKUP($B95,'Start List'!$B$15:$Y$139,N$8,FALSE))</f>
        <v/>
      </c>
      <c r="O95" s="80" t="str">
        <f>IF($B95="","",VLOOKUP($B95,'Start List'!$B$15:$Y$139,O$8,FALSE))</f>
        <v/>
      </c>
      <c r="P95" s="80" t="str">
        <f>IF($B95="","",VLOOKUP($B95,'Start List'!$B$15:$Y$139,P$8,FALSE))</f>
        <v/>
      </c>
      <c r="Q95" s="150" t="str">
        <f>IF($B95="","",VLOOKUP($B95,'Start List'!$B$15:$Y$139,Q$8,FALSE))</f>
        <v/>
      </c>
      <c r="R95" s="80" t="str">
        <f>IF($B95="","",VLOOKUP($B95,'Start List'!$B$15:$Y$139,R$8,FALSE))</f>
        <v/>
      </c>
      <c r="S95" s="150" t="str">
        <f>IF($B95="","",VLOOKUP($B95,'Start List'!$B$15:$Y$139,S$8,FALSE))</f>
        <v/>
      </c>
      <c r="T95" s="150" t="str">
        <f>IF($B95="","",VLOOKUP($B95,'Start List'!$B$15:$Y$139,T$8,FALSE))</f>
        <v/>
      </c>
      <c r="U95" s="80" t="str">
        <f>IF($B95="","",VLOOKUP($B95,'Start List'!$B$15:$Y$139,U$8,FALSE))</f>
        <v/>
      </c>
      <c r="V95" s="80" t="str">
        <f>IF($B95="","",VLOOKUP($B95,'Start List'!$B$15:$Y$139,V$8,FALSE))</f>
        <v/>
      </c>
      <c r="W95" s="150" t="str">
        <f>IF($B95="","",VLOOKUP($B95,'Start List'!$B$15:$Y$139,W$8,FALSE))</f>
        <v/>
      </c>
      <c r="X95" s="80" t="str">
        <f>IF($B95="","",VLOOKUP($B95,'Start List'!$B$15:$Y$139,X$8,FALSE))</f>
        <v/>
      </c>
      <c r="Y95" s="80" t="str">
        <f>IF($B95="","",VLOOKUP($B95,'Start List'!$B$15:$Y$139,Y$8,FALSE))</f>
        <v/>
      </c>
      <c r="Z95" s="217" t="str">
        <f>IF($B95="","",VLOOKUP($B95,'Start List'!$B$15:$Y$139,Z$8,FALSE))</f>
        <v/>
      </c>
      <c r="AA95" s="218" t="str">
        <f>IF($B95="","",VLOOKUP($B95,'Start List'!$B$15:$Y$139,AA$8,FALSE))</f>
        <v/>
      </c>
      <c r="AB95" s="218" t="str">
        <f>IF($B95="","",VLOOKUP($B95,'Start List'!$B$15:$Y$139,AB$8,FALSE))</f>
        <v/>
      </c>
    </row>
    <row r="96" spans="1:28" ht="12.75" x14ac:dyDescent="0.2">
      <c r="A96" s="75" t="str">
        <f>'Start List'!A102</f>
        <v/>
      </c>
      <c r="B96" s="76" t="str">
        <f>IF(A96="","",LARGE('Start List'!$B$15:$B$139,A96))</f>
        <v/>
      </c>
      <c r="C96" s="76" t="str">
        <f t="shared" si="3"/>
        <v/>
      </c>
      <c r="D96" s="76" t="str">
        <f t="shared" si="4"/>
        <v/>
      </c>
      <c r="E96" s="76" t="str">
        <f t="shared" si="5"/>
        <v/>
      </c>
      <c r="F96" s="80" t="str">
        <f>IF(COUNTIF(Data!$D$2:$D$97,$C96)=0,"",VLOOKUP($C96,Data!$D$2:$H$97,F$8,FALSE))</f>
        <v/>
      </c>
      <c r="G96" s="80" t="str">
        <f>IF(COUNTIF(Data!$D$2:$D$97,$C96)=0,"",VLOOKUP($C96,Data!$D$2:$H$97,G$8,FALSE))</f>
        <v/>
      </c>
      <c r="H96" s="80" t="str">
        <f>IF(COUNTIF(Data!$D$2:$D$97,$C96)=0,"",VLOOKUP($C96,Data!$D$2:$H$97,H$8,FALSE))</f>
        <v/>
      </c>
      <c r="I96" s="80" t="str">
        <f>IF(COUNTIF(Data!$D$2:$D$97,$C96)=0,"",VLOOKUP($C96,Data!$D$2:$H$97,I$8,FALSE))</f>
        <v/>
      </c>
      <c r="J96" s="77" t="str">
        <f>IF(A96="","",VLOOKUP($B96,'Start List'!$B$15:$Y$139,J$8,FALSE))</f>
        <v/>
      </c>
      <c r="K96" s="77" t="str">
        <f>IF(B96="","",VLOOKUP($B96,'Start List'!$B$15:$Y$139,K$8,FALSE))</f>
        <v/>
      </c>
      <c r="L96" s="77" t="str">
        <f>IF(J96="","",VLOOKUP($B96,'Start List'!$B$15:$Y$139,L$8,FALSE))</f>
        <v/>
      </c>
      <c r="M96" s="79" t="str">
        <f>IF(K96="","",VLOOKUP($B96,'Start List'!$B$15:$Y$139,M$8,FALSE))</f>
        <v/>
      </c>
      <c r="N96" s="150" t="str">
        <f>IF($B96="","",VLOOKUP($B96,'Start List'!$B$15:$Y$139,N$8,FALSE))</f>
        <v/>
      </c>
      <c r="O96" s="80" t="str">
        <f>IF($B96="","",VLOOKUP($B96,'Start List'!$B$15:$Y$139,O$8,FALSE))</f>
        <v/>
      </c>
      <c r="P96" s="80" t="str">
        <f>IF($B96="","",VLOOKUP($B96,'Start List'!$B$15:$Y$139,P$8,FALSE))</f>
        <v/>
      </c>
      <c r="Q96" s="150" t="str">
        <f>IF($B96="","",VLOOKUP($B96,'Start List'!$B$15:$Y$139,Q$8,FALSE))</f>
        <v/>
      </c>
      <c r="R96" s="80" t="str">
        <f>IF($B96="","",VLOOKUP($B96,'Start List'!$B$15:$Y$139,R$8,FALSE))</f>
        <v/>
      </c>
      <c r="S96" s="150" t="str">
        <f>IF($B96="","",VLOOKUP($B96,'Start List'!$B$15:$Y$139,S$8,FALSE))</f>
        <v/>
      </c>
      <c r="T96" s="150" t="str">
        <f>IF($B96="","",VLOOKUP($B96,'Start List'!$B$15:$Y$139,T$8,FALSE))</f>
        <v/>
      </c>
      <c r="U96" s="80" t="str">
        <f>IF($B96="","",VLOOKUP($B96,'Start List'!$B$15:$Y$139,U$8,FALSE))</f>
        <v/>
      </c>
      <c r="V96" s="80" t="str">
        <f>IF($B96="","",VLOOKUP($B96,'Start List'!$B$15:$Y$139,V$8,FALSE))</f>
        <v/>
      </c>
      <c r="W96" s="150" t="str">
        <f>IF($B96="","",VLOOKUP($B96,'Start List'!$B$15:$Y$139,W$8,FALSE))</f>
        <v/>
      </c>
      <c r="X96" s="80" t="str">
        <f>IF($B96="","",VLOOKUP($B96,'Start List'!$B$15:$Y$139,X$8,FALSE))</f>
        <v/>
      </c>
      <c r="Y96" s="80" t="str">
        <f>IF($B96="","",VLOOKUP($B96,'Start List'!$B$15:$Y$139,Y$8,FALSE))</f>
        <v/>
      </c>
      <c r="Z96" s="217" t="str">
        <f>IF($B96="","",VLOOKUP($B96,'Start List'!$B$15:$Y$139,Z$8,FALSE))</f>
        <v/>
      </c>
      <c r="AA96" s="218" t="str">
        <f>IF($B96="","",VLOOKUP($B96,'Start List'!$B$15:$Y$139,AA$8,FALSE))</f>
        <v/>
      </c>
      <c r="AB96" s="218" t="str">
        <f>IF($B96="","",VLOOKUP($B96,'Start List'!$B$15:$Y$139,AB$8,FALSE))</f>
        <v/>
      </c>
    </row>
    <row r="97" spans="1:28" ht="12.75" x14ac:dyDescent="0.2">
      <c r="A97" s="75" t="str">
        <f>'Start List'!A103</f>
        <v/>
      </c>
      <c r="B97" s="76" t="str">
        <f>IF(A97="","",LARGE('Start List'!$B$15:$B$139,A97))</f>
        <v/>
      </c>
      <c r="C97" s="76" t="str">
        <f t="shared" si="3"/>
        <v/>
      </c>
      <c r="D97" s="76" t="str">
        <f t="shared" si="4"/>
        <v/>
      </c>
      <c r="E97" s="76" t="str">
        <f t="shared" si="5"/>
        <v/>
      </c>
      <c r="F97" s="80" t="str">
        <f>IF(COUNTIF(Data!$D$2:$D$97,$C97)=0,"",VLOOKUP($C97,Data!$D$2:$H$97,F$8,FALSE))</f>
        <v/>
      </c>
      <c r="G97" s="80" t="str">
        <f>IF(COUNTIF(Data!$D$2:$D$97,$C97)=0,"",VLOOKUP($C97,Data!$D$2:$H$97,G$8,FALSE))</f>
        <v/>
      </c>
      <c r="H97" s="80" t="str">
        <f>IF(COUNTIF(Data!$D$2:$D$97,$C97)=0,"",VLOOKUP($C97,Data!$D$2:$H$97,H$8,FALSE))</f>
        <v/>
      </c>
      <c r="I97" s="80" t="str">
        <f>IF(COUNTIF(Data!$D$2:$D$97,$C97)=0,"",VLOOKUP($C97,Data!$D$2:$H$97,I$8,FALSE))</f>
        <v/>
      </c>
      <c r="J97" s="77" t="str">
        <f>IF(A97="","",VLOOKUP($B97,'Start List'!$B$15:$Y$139,J$8,FALSE))</f>
        <v/>
      </c>
      <c r="K97" s="77" t="str">
        <f>IF(B97="","",VLOOKUP($B97,'Start List'!$B$15:$Y$139,K$8,FALSE))</f>
        <v/>
      </c>
      <c r="L97" s="77" t="str">
        <f>IF(J97="","",VLOOKUP($B97,'Start List'!$B$15:$Y$139,L$8,FALSE))</f>
        <v/>
      </c>
      <c r="M97" s="79" t="str">
        <f>IF(K97="","",VLOOKUP($B97,'Start List'!$B$15:$Y$139,M$8,FALSE))</f>
        <v/>
      </c>
      <c r="N97" s="150" t="str">
        <f>IF($B97="","",VLOOKUP($B97,'Start List'!$B$15:$Y$139,N$8,FALSE))</f>
        <v/>
      </c>
      <c r="O97" s="80" t="str">
        <f>IF($B97="","",VLOOKUP($B97,'Start List'!$B$15:$Y$139,O$8,FALSE))</f>
        <v/>
      </c>
      <c r="P97" s="80" t="str">
        <f>IF($B97="","",VLOOKUP($B97,'Start List'!$B$15:$Y$139,P$8,FALSE))</f>
        <v/>
      </c>
      <c r="Q97" s="150" t="str">
        <f>IF($B97="","",VLOOKUP($B97,'Start List'!$B$15:$Y$139,Q$8,FALSE))</f>
        <v/>
      </c>
      <c r="R97" s="80" t="str">
        <f>IF($B97="","",VLOOKUP($B97,'Start List'!$B$15:$Y$139,R$8,FALSE))</f>
        <v/>
      </c>
      <c r="S97" s="150" t="str">
        <f>IF($B97="","",VLOOKUP($B97,'Start List'!$B$15:$Y$139,S$8,FALSE))</f>
        <v/>
      </c>
      <c r="T97" s="150" t="str">
        <f>IF($B97="","",VLOOKUP($B97,'Start List'!$B$15:$Y$139,T$8,FALSE))</f>
        <v/>
      </c>
      <c r="U97" s="80" t="str">
        <f>IF($B97="","",VLOOKUP($B97,'Start List'!$B$15:$Y$139,U$8,FALSE))</f>
        <v/>
      </c>
      <c r="V97" s="80" t="str">
        <f>IF($B97="","",VLOOKUP($B97,'Start List'!$B$15:$Y$139,V$8,FALSE))</f>
        <v/>
      </c>
      <c r="W97" s="150" t="str">
        <f>IF($B97="","",VLOOKUP($B97,'Start List'!$B$15:$Y$139,W$8,FALSE))</f>
        <v/>
      </c>
      <c r="X97" s="80" t="str">
        <f>IF($B97="","",VLOOKUP($B97,'Start List'!$B$15:$Y$139,X$8,FALSE))</f>
        <v/>
      </c>
      <c r="Y97" s="80" t="str">
        <f>IF($B97="","",VLOOKUP($B97,'Start List'!$B$15:$Y$139,Y$8,FALSE))</f>
        <v/>
      </c>
      <c r="Z97" s="217" t="str">
        <f>IF($B97="","",VLOOKUP($B97,'Start List'!$B$15:$Y$139,Z$8,FALSE))</f>
        <v/>
      </c>
      <c r="AA97" s="218" t="str">
        <f>IF($B97="","",VLOOKUP($B97,'Start List'!$B$15:$Y$139,AA$8,FALSE))</f>
        <v/>
      </c>
      <c r="AB97" s="218" t="str">
        <f>IF($B97="","",VLOOKUP($B97,'Start List'!$B$15:$Y$139,AB$8,FALSE))</f>
        <v/>
      </c>
    </row>
    <row r="98" spans="1:28" ht="12.75" x14ac:dyDescent="0.2">
      <c r="A98" s="75" t="str">
        <f>'Start List'!A104</f>
        <v/>
      </c>
      <c r="B98" s="76" t="str">
        <f>IF(A98="","",LARGE('Start List'!$B$15:$B$139,A98))</f>
        <v/>
      </c>
      <c r="C98" s="76" t="str">
        <f t="shared" si="3"/>
        <v/>
      </c>
      <c r="D98" s="76" t="str">
        <f t="shared" si="4"/>
        <v/>
      </c>
      <c r="E98" s="76" t="str">
        <f t="shared" si="5"/>
        <v/>
      </c>
      <c r="F98" s="80" t="str">
        <f>IF(COUNTIF(Data!$D$2:$D$97,$C98)=0,"",VLOOKUP($C98,Data!$D$2:$H$97,F$8,FALSE))</f>
        <v/>
      </c>
      <c r="G98" s="80" t="str">
        <f>IF(COUNTIF(Data!$D$2:$D$97,$C98)=0,"",VLOOKUP($C98,Data!$D$2:$H$97,G$8,FALSE))</f>
        <v/>
      </c>
      <c r="H98" s="80" t="str">
        <f>IF(COUNTIF(Data!$D$2:$D$97,$C98)=0,"",VLOOKUP($C98,Data!$D$2:$H$97,H$8,FALSE))</f>
        <v/>
      </c>
      <c r="I98" s="80" t="str">
        <f>IF(COUNTIF(Data!$D$2:$D$97,$C98)=0,"",VLOOKUP($C98,Data!$D$2:$H$97,I$8,FALSE))</f>
        <v/>
      </c>
      <c r="J98" s="77" t="str">
        <f>IF(A98="","",VLOOKUP($B98,'Start List'!$B$15:$Y$139,J$8,FALSE))</f>
        <v/>
      </c>
      <c r="K98" s="77" t="str">
        <f>IF(B98="","",VLOOKUP($B98,'Start List'!$B$15:$Y$139,K$8,FALSE))</f>
        <v/>
      </c>
      <c r="L98" s="77" t="str">
        <f>IF(J98="","",VLOOKUP($B98,'Start List'!$B$15:$Y$139,L$8,FALSE))</f>
        <v/>
      </c>
      <c r="M98" s="79" t="str">
        <f>IF(K98="","",VLOOKUP($B98,'Start List'!$B$15:$Y$139,M$8,FALSE))</f>
        <v/>
      </c>
      <c r="N98" s="150" t="str">
        <f>IF($B98="","",VLOOKUP($B98,'Start List'!$B$15:$Y$139,N$8,FALSE))</f>
        <v/>
      </c>
      <c r="O98" s="80" t="str">
        <f>IF($B98="","",VLOOKUP($B98,'Start List'!$B$15:$Y$139,O$8,FALSE))</f>
        <v/>
      </c>
      <c r="P98" s="80" t="str">
        <f>IF($B98="","",VLOOKUP($B98,'Start List'!$B$15:$Y$139,P$8,FALSE))</f>
        <v/>
      </c>
      <c r="Q98" s="150" t="str">
        <f>IF($B98="","",VLOOKUP($B98,'Start List'!$B$15:$Y$139,Q$8,FALSE))</f>
        <v/>
      </c>
      <c r="R98" s="80" t="str">
        <f>IF($B98="","",VLOOKUP($B98,'Start List'!$B$15:$Y$139,R$8,FALSE))</f>
        <v/>
      </c>
      <c r="S98" s="150" t="str">
        <f>IF($B98="","",VLOOKUP($B98,'Start List'!$B$15:$Y$139,S$8,FALSE))</f>
        <v/>
      </c>
      <c r="T98" s="150" t="str">
        <f>IF($B98="","",VLOOKUP($B98,'Start List'!$B$15:$Y$139,T$8,FALSE))</f>
        <v/>
      </c>
      <c r="U98" s="80" t="str">
        <f>IF($B98="","",VLOOKUP($B98,'Start List'!$B$15:$Y$139,U$8,FALSE))</f>
        <v/>
      </c>
      <c r="V98" s="80" t="str">
        <f>IF($B98="","",VLOOKUP($B98,'Start List'!$B$15:$Y$139,V$8,FALSE))</f>
        <v/>
      </c>
      <c r="W98" s="150" t="str">
        <f>IF($B98="","",VLOOKUP($B98,'Start List'!$B$15:$Y$139,W$8,FALSE))</f>
        <v/>
      </c>
      <c r="X98" s="80" t="str">
        <f>IF($B98="","",VLOOKUP($B98,'Start List'!$B$15:$Y$139,X$8,FALSE))</f>
        <v/>
      </c>
      <c r="Y98" s="80" t="str">
        <f>IF($B98="","",VLOOKUP($B98,'Start List'!$B$15:$Y$139,Y$8,FALSE))</f>
        <v/>
      </c>
      <c r="Z98" s="217" t="str">
        <f>IF($B98="","",VLOOKUP($B98,'Start List'!$B$15:$Y$139,Z$8,FALSE))</f>
        <v/>
      </c>
      <c r="AA98" s="218" t="str">
        <f>IF($B98="","",VLOOKUP($B98,'Start List'!$B$15:$Y$139,AA$8,FALSE))</f>
        <v/>
      </c>
      <c r="AB98" s="218" t="str">
        <f>IF($B98="","",VLOOKUP($B98,'Start List'!$B$15:$Y$139,AB$8,FALSE))</f>
        <v/>
      </c>
    </row>
    <row r="99" spans="1:28" ht="12.75" x14ac:dyDescent="0.2">
      <c r="A99" s="75" t="str">
        <f>'Start List'!A105</f>
        <v/>
      </c>
      <c r="B99" s="76" t="str">
        <f>IF(A99="","",LARGE('Start List'!$B$15:$B$139,A99))</f>
        <v/>
      </c>
      <c r="C99" s="76" t="str">
        <f t="shared" si="3"/>
        <v/>
      </c>
      <c r="D99" s="76" t="str">
        <f t="shared" si="4"/>
        <v/>
      </c>
      <c r="E99" s="76" t="str">
        <f t="shared" si="5"/>
        <v/>
      </c>
      <c r="F99" s="80" t="str">
        <f>IF(COUNTIF(Data!$D$2:$D$97,$C99)=0,"",VLOOKUP($C99,Data!$D$2:$H$97,F$8,FALSE))</f>
        <v/>
      </c>
      <c r="G99" s="80" t="str">
        <f>IF(COUNTIF(Data!$D$2:$D$97,$C99)=0,"",VLOOKUP($C99,Data!$D$2:$H$97,G$8,FALSE))</f>
        <v/>
      </c>
      <c r="H99" s="80" t="str">
        <f>IF(COUNTIF(Data!$D$2:$D$97,$C99)=0,"",VLOOKUP($C99,Data!$D$2:$H$97,H$8,FALSE))</f>
        <v/>
      </c>
      <c r="I99" s="80" t="str">
        <f>IF(COUNTIF(Data!$D$2:$D$97,$C99)=0,"",VLOOKUP($C99,Data!$D$2:$H$97,I$8,FALSE))</f>
        <v/>
      </c>
      <c r="J99" s="77" t="str">
        <f>IF(A99="","",VLOOKUP($B99,'Start List'!$B$15:$Y$139,J$8,FALSE))</f>
        <v/>
      </c>
      <c r="K99" s="77" t="str">
        <f>IF(B99="","",VLOOKUP($B99,'Start List'!$B$15:$Y$139,K$8,FALSE))</f>
        <v/>
      </c>
      <c r="L99" s="77" t="str">
        <f>IF(J99="","",VLOOKUP($B99,'Start List'!$B$15:$Y$139,L$8,FALSE))</f>
        <v/>
      </c>
      <c r="M99" s="79" t="str">
        <f>IF(K99="","",VLOOKUP($B99,'Start List'!$B$15:$Y$139,M$8,FALSE))</f>
        <v/>
      </c>
      <c r="N99" s="150" t="str">
        <f>IF($B99="","",VLOOKUP($B99,'Start List'!$B$15:$Y$139,N$8,FALSE))</f>
        <v/>
      </c>
      <c r="O99" s="80" t="str">
        <f>IF($B99="","",VLOOKUP($B99,'Start List'!$B$15:$Y$139,O$8,FALSE))</f>
        <v/>
      </c>
      <c r="P99" s="80" t="str">
        <f>IF($B99="","",VLOOKUP($B99,'Start List'!$B$15:$Y$139,P$8,FALSE))</f>
        <v/>
      </c>
      <c r="Q99" s="150" t="str">
        <f>IF($B99="","",VLOOKUP($B99,'Start List'!$B$15:$Y$139,Q$8,FALSE))</f>
        <v/>
      </c>
      <c r="R99" s="80" t="str">
        <f>IF($B99="","",VLOOKUP($B99,'Start List'!$B$15:$Y$139,R$8,FALSE))</f>
        <v/>
      </c>
      <c r="S99" s="150" t="str">
        <f>IF($B99="","",VLOOKUP($B99,'Start List'!$B$15:$Y$139,S$8,FALSE))</f>
        <v/>
      </c>
      <c r="T99" s="150" t="str">
        <f>IF($B99="","",VLOOKUP($B99,'Start List'!$B$15:$Y$139,T$8,FALSE))</f>
        <v/>
      </c>
      <c r="U99" s="80" t="str">
        <f>IF($B99="","",VLOOKUP($B99,'Start List'!$B$15:$Y$139,U$8,FALSE))</f>
        <v/>
      </c>
      <c r="V99" s="80" t="str">
        <f>IF($B99="","",VLOOKUP($B99,'Start List'!$B$15:$Y$139,V$8,FALSE))</f>
        <v/>
      </c>
      <c r="W99" s="150" t="str">
        <f>IF($B99="","",VLOOKUP($B99,'Start List'!$B$15:$Y$139,W$8,FALSE))</f>
        <v/>
      </c>
      <c r="X99" s="80" t="str">
        <f>IF($B99="","",VLOOKUP($B99,'Start List'!$B$15:$Y$139,X$8,FALSE))</f>
        <v/>
      </c>
      <c r="Y99" s="80" t="str">
        <f>IF($B99="","",VLOOKUP($B99,'Start List'!$B$15:$Y$139,Y$8,FALSE))</f>
        <v/>
      </c>
      <c r="Z99" s="217" t="str">
        <f>IF($B99="","",VLOOKUP($B99,'Start List'!$B$15:$Y$139,Z$8,FALSE))</f>
        <v/>
      </c>
      <c r="AA99" s="218" t="str">
        <f>IF($B99="","",VLOOKUP($B99,'Start List'!$B$15:$Y$139,AA$8,FALSE))</f>
        <v/>
      </c>
      <c r="AB99" s="218" t="str">
        <f>IF($B99="","",VLOOKUP($B99,'Start List'!$B$15:$Y$139,AB$8,FALSE))</f>
        <v/>
      </c>
    </row>
    <row r="100" spans="1:28" ht="12.75" x14ac:dyDescent="0.2">
      <c r="A100" s="75" t="str">
        <f>'Start List'!A106</f>
        <v/>
      </c>
      <c r="B100" s="76" t="str">
        <f>IF(A100="","",LARGE('Start List'!$B$15:$B$139,A100))</f>
        <v/>
      </c>
      <c r="C100" s="76" t="str">
        <f t="shared" si="3"/>
        <v/>
      </c>
      <c r="D100" s="76" t="str">
        <f t="shared" si="4"/>
        <v/>
      </c>
      <c r="E100" s="76" t="str">
        <f t="shared" si="5"/>
        <v/>
      </c>
      <c r="F100" s="80" t="str">
        <f>IF(COUNTIF(Data!$D$2:$D$97,$C100)=0,"",VLOOKUP($C100,Data!$D$2:$H$97,F$8,FALSE))</f>
        <v/>
      </c>
      <c r="G100" s="80" t="str">
        <f>IF(COUNTIF(Data!$D$2:$D$97,$C100)=0,"",VLOOKUP($C100,Data!$D$2:$H$97,G$8,FALSE))</f>
        <v/>
      </c>
      <c r="H100" s="80" t="str">
        <f>IF(COUNTIF(Data!$D$2:$D$97,$C100)=0,"",VLOOKUP($C100,Data!$D$2:$H$97,H$8,FALSE))</f>
        <v/>
      </c>
      <c r="I100" s="80" t="str">
        <f>IF(COUNTIF(Data!$D$2:$D$97,$C100)=0,"",VLOOKUP($C100,Data!$D$2:$H$97,I$8,FALSE))</f>
        <v/>
      </c>
      <c r="J100" s="77" t="str">
        <f>IF(A100="","",VLOOKUP($B100,'Start List'!$B$15:$Y$139,J$8,FALSE))</f>
        <v/>
      </c>
      <c r="K100" s="77" t="str">
        <f>IF(B100="","",VLOOKUP($B100,'Start List'!$B$15:$Y$139,K$8,FALSE))</f>
        <v/>
      </c>
      <c r="L100" s="77" t="str">
        <f>IF(J100="","",VLOOKUP($B100,'Start List'!$B$15:$Y$139,L$8,FALSE))</f>
        <v/>
      </c>
      <c r="M100" s="79" t="str">
        <f>IF(K100="","",VLOOKUP($B100,'Start List'!$B$15:$Y$139,M$8,FALSE))</f>
        <v/>
      </c>
      <c r="N100" s="150" t="str">
        <f>IF($B100="","",VLOOKUP($B100,'Start List'!$B$15:$Y$139,N$8,FALSE))</f>
        <v/>
      </c>
      <c r="O100" s="80" t="str">
        <f>IF($B100="","",VLOOKUP($B100,'Start List'!$B$15:$Y$139,O$8,FALSE))</f>
        <v/>
      </c>
      <c r="P100" s="80" t="str">
        <f>IF($B100="","",VLOOKUP($B100,'Start List'!$B$15:$Y$139,P$8,FALSE))</f>
        <v/>
      </c>
      <c r="Q100" s="150" t="str">
        <f>IF($B100="","",VLOOKUP($B100,'Start List'!$B$15:$Y$139,Q$8,FALSE))</f>
        <v/>
      </c>
      <c r="R100" s="80" t="str">
        <f>IF($B100="","",VLOOKUP($B100,'Start List'!$B$15:$Y$139,R$8,FALSE))</f>
        <v/>
      </c>
      <c r="S100" s="150" t="str">
        <f>IF($B100="","",VLOOKUP($B100,'Start List'!$B$15:$Y$139,S$8,FALSE))</f>
        <v/>
      </c>
      <c r="T100" s="150" t="str">
        <f>IF($B100="","",VLOOKUP($B100,'Start List'!$B$15:$Y$139,T$8,FALSE))</f>
        <v/>
      </c>
      <c r="U100" s="80" t="str">
        <f>IF($B100="","",VLOOKUP($B100,'Start List'!$B$15:$Y$139,U$8,FALSE))</f>
        <v/>
      </c>
      <c r="V100" s="80" t="str">
        <f>IF($B100="","",VLOOKUP($B100,'Start List'!$B$15:$Y$139,V$8,FALSE))</f>
        <v/>
      </c>
      <c r="W100" s="150" t="str">
        <f>IF($B100="","",VLOOKUP($B100,'Start List'!$B$15:$Y$139,W$8,FALSE))</f>
        <v/>
      </c>
      <c r="X100" s="80" t="str">
        <f>IF($B100="","",VLOOKUP($B100,'Start List'!$B$15:$Y$139,X$8,FALSE))</f>
        <v/>
      </c>
      <c r="Y100" s="80" t="str">
        <f>IF($B100="","",VLOOKUP($B100,'Start List'!$B$15:$Y$139,Y$8,FALSE))</f>
        <v/>
      </c>
      <c r="Z100" s="217" t="str">
        <f>IF($B100="","",VLOOKUP($B100,'Start List'!$B$15:$Y$139,Z$8,FALSE))</f>
        <v/>
      </c>
      <c r="AA100" s="218" t="str">
        <f>IF($B100="","",VLOOKUP($B100,'Start List'!$B$15:$Y$139,AA$8,FALSE))</f>
        <v/>
      </c>
      <c r="AB100" s="218" t="str">
        <f>IF($B100="","",VLOOKUP($B100,'Start List'!$B$15:$Y$139,AB$8,FALSE))</f>
        <v/>
      </c>
    </row>
    <row r="101" spans="1:28" ht="12.75" x14ac:dyDescent="0.2">
      <c r="A101" s="75" t="str">
        <f>'Start List'!A107</f>
        <v/>
      </c>
      <c r="B101" s="76" t="str">
        <f>IF(A101="","",LARGE('Start List'!$B$15:$B$139,A101))</f>
        <v/>
      </c>
      <c r="C101" s="76" t="str">
        <f t="shared" si="3"/>
        <v/>
      </c>
      <c r="D101" s="76" t="str">
        <f t="shared" si="4"/>
        <v/>
      </c>
      <c r="E101" s="76" t="str">
        <f t="shared" si="5"/>
        <v/>
      </c>
      <c r="F101" s="80" t="str">
        <f>IF(COUNTIF(Data!$D$2:$D$97,$C101)=0,"",VLOOKUP($C101,Data!$D$2:$H$97,F$8,FALSE))</f>
        <v/>
      </c>
      <c r="G101" s="80" t="str">
        <f>IF(COUNTIF(Data!$D$2:$D$97,$C101)=0,"",VLOOKUP($C101,Data!$D$2:$H$97,G$8,FALSE))</f>
        <v/>
      </c>
      <c r="H101" s="80" t="str">
        <f>IF(COUNTIF(Data!$D$2:$D$97,$C101)=0,"",VLOOKUP($C101,Data!$D$2:$H$97,H$8,FALSE))</f>
        <v/>
      </c>
      <c r="I101" s="80" t="str">
        <f>IF(COUNTIF(Data!$D$2:$D$97,$C101)=0,"",VLOOKUP($C101,Data!$D$2:$H$97,I$8,FALSE))</f>
        <v/>
      </c>
      <c r="J101" s="77" t="str">
        <f>IF(A101="","",VLOOKUP($B101,'Start List'!$B$15:$Y$139,J$8,FALSE))</f>
        <v/>
      </c>
      <c r="K101" s="77" t="str">
        <f>IF(B101="","",VLOOKUP($B101,'Start List'!$B$15:$Y$139,K$8,FALSE))</f>
        <v/>
      </c>
      <c r="L101" s="77" t="str">
        <f>IF(J101="","",VLOOKUP($B101,'Start List'!$B$15:$Y$139,L$8,FALSE))</f>
        <v/>
      </c>
      <c r="M101" s="79" t="str">
        <f>IF(K101="","",VLOOKUP($B101,'Start List'!$B$15:$Y$139,M$8,FALSE))</f>
        <v/>
      </c>
      <c r="N101" s="150" t="str">
        <f>IF($B101="","",VLOOKUP($B101,'Start List'!$B$15:$Y$139,N$8,FALSE))</f>
        <v/>
      </c>
      <c r="O101" s="80" t="str">
        <f>IF($B101="","",VLOOKUP($B101,'Start List'!$B$15:$Y$139,O$8,FALSE))</f>
        <v/>
      </c>
      <c r="P101" s="80" t="str">
        <f>IF($B101="","",VLOOKUP($B101,'Start List'!$B$15:$Y$139,P$8,FALSE))</f>
        <v/>
      </c>
      <c r="Q101" s="150" t="str">
        <f>IF($B101="","",VLOOKUP($B101,'Start List'!$B$15:$Y$139,Q$8,FALSE))</f>
        <v/>
      </c>
      <c r="R101" s="80" t="str">
        <f>IF($B101="","",VLOOKUP($B101,'Start List'!$B$15:$Y$139,R$8,FALSE))</f>
        <v/>
      </c>
      <c r="S101" s="150" t="str">
        <f>IF($B101="","",VLOOKUP($B101,'Start List'!$B$15:$Y$139,S$8,FALSE))</f>
        <v/>
      </c>
      <c r="T101" s="150" t="str">
        <f>IF($B101="","",VLOOKUP($B101,'Start List'!$B$15:$Y$139,T$8,FALSE))</f>
        <v/>
      </c>
      <c r="U101" s="80" t="str">
        <f>IF($B101="","",VLOOKUP($B101,'Start List'!$B$15:$Y$139,U$8,FALSE))</f>
        <v/>
      </c>
      <c r="V101" s="80" t="str">
        <f>IF($B101="","",VLOOKUP($B101,'Start List'!$B$15:$Y$139,V$8,FALSE))</f>
        <v/>
      </c>
      <c r="W101" s="150" t="str">
        <f>IF($B101="","",VLOOKUP($B101,'Start List'!$B$15:$Y$139,W$8,FALSE))</f>
        <v/>
      </c>
      <c r="X101" s="80" t="str">
        <f>IF($B101="","",VLOOKUP($B101,'Start List'!$B$15:$Y$139,X$8,FALSE))</f>
        <v/>
      </c>
      <c r="Y101" s="80" t="str">
        <f>IF($B101="","",VLOOKUP($B101,'Start List'!$B$15:$Y$139,Y$8,FALSE))</f>
        <v/>
      </c>
      <c r="Z101" s="217" t="str">
        <f>IF($B101="","",VLOOKUP($B101,'Start List'!$B$15:$Y$139,Z$8,FALSE))</f>
        <v/>
      </c>
      <c r="AA101" s="218" t="str">
        <f>IF($B101="","",VLOOKUP($B101,'Start List'!$B$15:$Y$139,AA$8,FALSE))</f>
        <v/>
      </c>
      <c r="AB101" s="218" t="str">
        <f>IF($B101="","",VLOOKUP($B101,'Start List'!$B$15:$Y$139,AB$8,FALSE))</f>
        <v/>
      </c>
    </row>
    <row r="102" spans="1:28" ht="12.75" x14ac:dyDescent="0.2">
      <c r="A102" s="75" t="str">
        <f>'Start List'!A108</f>
        <v/>
      </c>
      <c r="B102" s="76" t="str">
        <f>IF(A102="","",LARGE('Start List'!$B$15:$B$139,A102))</f>
        <v/>
      </c>
      <c r="C102" s="76" t="str">
        <f t="shared" si="3"/>
        <v/>
      </c>
      <c r="D102" s="76" t="str">
        <f t="shared" si="4"/>
        <v/>
      </c>
      <c r="E102" s="76" t="str">
        <f t="shared" si="5"/>
        <v/>
      </c>
      <c r="F102" s="80" t="str">
        <f>IF(COUNTIF(Data!$D$2:$D$97,$C102)=0,"",VLOOKUP($C102,Data!$D$2:$H$97,F$8,FALSE))</f>
        <v/>
      </c>
      <c r="G102" s="80" t="str">
        <f>IF(COUNTIF(Data!$D$2:$D$97,$C102)=0,"",VLOOKUP($C102,Data!$D$2:$H$97,G$8,FALSE))</f>
        <v/>
      </c>
      <c r="H102" s="80" t="str">
        <f>IF(COUNTIF(Data!$D$2:$D$97,$C102)=0,"",VLOOKUP($C102,Data!$D$2:$H$97,H$8,FALSE))</f>
        <v/>
      </c>
      <c r="I102" s="80" t="str">
        <f>IF(COUNTIF(Data!$D$2:$D$97,$C102)=0,"",VLOOKUP($C102,Data!$D$2:$H$97,I$8,FALSE))</f>
        <v/>
      </c>
      <c r="J102" s="77" t="str">
        <f>IF(A102="","",VLOOKUP($B102,'Start List'!$B$15:$Y$139,J$8,FALSE))</f>
        <v/>
      </c>
      <c r="K102" s="77" t="str">
        <f>IF(B102="","",VLOOKUP($B102,'Start List'!$B$15:$Y$139,K$8,FALSE))</f>
        <v/>
      </c>
      <c r="L102" s="77" t="str">
        <f>IF(J102="","",VLOOKUP($B102,'Start List'!$B$15:$Y$139,L$8,FALSE))</f>
        <v/>
      </c>
      <c r="M102" s="79" t="str">
        <f>IF(K102="","",VLOOKUP($B102,'Start List'!$B$15:$Y$139,M$8,FALSE))</f>
        <v/>
      </c>
      <c r="N102" s="150" t="str">
        <f>IF($B102="","",VLOOKUP($B102,'Start List'!$B$15:$Y$139,N$8,FALSE))</f>
        <v/>
      </c>
      <c r="O102" s="80" t="str">
        <f>IF($B102="","",VLOOKUP($B102,'Start List'!$B$15:$Y$139,O$8,FALSE))</f>
        <v/>
      </c>
      <c r="P102" s="80" t="str">
        <f>IF($B102="","",VLOOKUP($B102,'Start List'!$B$15:$Y$139,P$8,FALSE))</f>
        <v/>
      </c>
      <c r="Q102" s="150" t="str">
        <f>IF($B102="","",VLOOKUP($B102,'Start List'!$B$15:$Y$139,Q$8,FALSE))</f>
        <v/>
      </c>
      <c r="R102" s="80" t="str">
        <f>IF($B102="","",VLOOKUP($B102,'Start List'!$B$15:$Y$139,R$8,FALSE))</f>
        <v/>
      </c>
      <c r="S102" s="150" t="str">
        <f>IF($B102="","",VLOOKUP($B102,'Start List'!$B$15:$Y$139,S$8,FALSE))</f>
        <v/>
      </c>
      <c r="T102" s="150" t="str">
        <f>IF($B102="","",VLOOKUP($B102,'Start List'!$B$15:$Y$139,T$8,FALSE))</f>
        <v/>
      </c>
      <c r="U102" s="80" t="str">
        <f>IF($B102="","",VLOOKUP($B102,'Start List'!$B$15:$Y$139,U$8,FALSE))</f>
        <v/>
      </c>
      <c r="V102" s="80" t="str">
        <f>IF($B102="","",VLOOKUP($B102,'Start List'!$B$15:$Y$139,V$8,FALSE))</f>
        <v/>
      </c>
      <c r="W102" s="150" t="str">
        <f>IF($B102="","",VLOOKUP($B102,'Start List'!$B$15:$Y$139,W$8,FALSE))</f>
        <v/>
      </c>
      <c r="X102" s="80" t="str">
        <f>IF($B102="","",VLOOKUP($B102,'Start List'!$B$15:$Y$139,X$8,FALSE))</f>
        <v/>
      </c>
      <c r="Y102" s="80" t="str">
        <f>IF($B102="","",VLOOKUP($B102,'Start List'!$B$15:$Y$139,Y$8,FALSE))</f>
        <v/>
      </c>
      <c r="Z102" s="217" t="str">
        <f>IF($B102="","",VLOOKUP($B102,'Start List'!$B$15:$Y$139,Z$8,FALSE))</f>
        <v/>
      </c>
      <c r="AA102" s="218" t="str">
        <f>IF($B102="","",VLOOKUP($B102,'Start List'!$B$15:$Y$139,AA$8,FALSE))</f>
        <v/>
      </c>
      <c r="AB102" s="218" t="str">
        <f>IF($B102="","",VLOOKUP($B102,'Start List'!$B$15:$Y$139,AB$8,FALSE))</f>
        <v/>
      </c>
    </row>
    <row r="103" spans="1:28" ht="12.75" x14ac:dyDescent="0.2">
      <c r="A103" s="75" t="str">
        <f>'Start List'!A109</f>
        <v/>
      </c>
      <c r="B103" s="76" t="str">
        <f>IF(A103="","",LARGE('Start List'!$B$15:$B$139,A103))</f>
        <v/>
      </c>
      <c r="C103" s="76" t="str">
        <f t="shared" si="3"/>
        <v/>
      </c>
      <c r="D103" s="76" t="str">
        <f t="shared" si="4"/>
        <v/>
      </c>
      <c r="E103" s="76" t="str">
        <f t="shared" si="5"/>
        <v/>
      </c>
      <c r="F103" s="80" t="str">
        <f>IF(COUNTIF(Data!$D$2:$D$97,$C103)=0,"",VLOOKUP($C103,Data!$D$2:$H$97,F$8,FALSE))</f>
        <v/>
      </c>
      <c r="G103" s="80" t="str">
        <f>IF(COUNTIF(Data!$D$2:$D$97,$C103)=0,"",VLOOKUP($C103,Data!$D$2:$H$97,G$8,FALSE))</f>
        <v/>
      </c>
      <c r="H103" s="80" t="str">
        <f>IF(COUNTIF(Data!$D$2:$D$97,$C103)=0,"",VLOOKUP($C103,Data!$D$2:$H$97,H$8,FALSE))</f>
        <v/>
      </c>
      <c r="I103" s="80" t="str">
        <f>IF(COUNTIF(Data!$D$2:$D$97,$C103)=0,"",VLOOKUP($C103,Data!$D$2:$H$97,I$8,FALSE))</f>
        <v/>
      </c>
      <c r="J103" s="77" t="str">
        <f>IF(A103="","",VLOOKUP($B103,'Start List'!$B$15:$Y$139,J$8,FALSE))</f>
        <v/>
      </c>
      <c r="K103" s="77" t="str">
        <f>IF(B103="","",VLOOKUP($B103,'Start List'!$B$15:$Y$139,K$8,FALSE))</f>
        <v/>
      </c>
      <c r="L103" s="77" t="str">
        <f>IF(J103="","",VLOOKUP($B103,'Start List'!$B$15:$Y$139,L$8,FALSE))</f>
        <v/>
      </c>
      <c r="M103" s="79" t="str">
        <f>IF(K103="","",VLOOKUP($B103,'Start List'!$B$15:$Y$139,M$8,FALSE))</f>
        <v/>
      </c>
      <c r="N103" s="150" t="str">
        <f>IF($B103="","",VLOOKUP($B103,'Start List'!$B$15:$Y$139,N$8,FALSE))</f>
        <v/>
      </c>
      <c r="O103" s="80" t="str">
        <f>IF($B103="","",VLOOKUP($B103,'Start List'!$B$15:$Y$139,O$8,FALSE))</f>
        <v/>
      </c>
      <c r="P103" s="80" t="str">
        <f>IF($B103="","",VLOOKUP($B103,'Start List'!$B$15:$Y$139,P$8,FALSE))</f>
        <v/>
      </c>
      <c r="Q103" s="150" t="str">
        <f>IF($B103="","",VLOOKUP($B103,'Start List'!$B$15:$Y$139,Q$8,FALSE))</f>
        <v/>
      </c>
      <c r="R103" s="80" t="str">
        <f>IF($B103="","",VLOOKUP($B103,'Start List'!$B$15:$Y$139,R$8,FALSE))</f>
        <v/>
      </c>
      <c r="S103" s="150" t="str">
        <f>IF($B103="","",VLOOKUP($B103,'Start List'!$B$15:$Y$139,S$8,FALSE))</f>
        <v/>
      </c>
      <c r="T103" s="150" t="str">
        <f>IF($B103="","",VLOOKUP($B103,'Start List'!$B$15:$Y$139,T$8,FALSE))</f>
        <v/>
      </c>
      <c r="U103" s="80" t="str">
        <f>IF($B103="","",VLOOKUP($B103,'Start List'!$B$15:$Y$139,U$8,FALSE))</f>
        <v/>
      </c>
      <c r="V103" s="80" t="str">
        <f>IF($B103="","",VLOOKUP($B103,'Start List'!$B$15:$Y$139,V$8,FALSE))</f>
        <v/>
      </c>
      <c r="W103" s="150" t="str">
        <f>IF($B103="","",VLOOKUP($B103,'Start List'!$B$15:$Y$139,W$8,FALSE))</f>
        <v/>
      </c>
      <c r="X103" s="80" t="str">
        <f>IF($B103="","",VLOOKUP($B103,'Start List'!$B$15:$Y$139,X$8,FALSE))</f>
        <v/>
      </c>
      <c r="Y103" s="80" t="str">
        <f>IF($B103="","",VLOOKUP($B103,'Start List'!$B$15:$Y$139,Y$8,FALSE))</f>
        <v/>
      </c>
      <c r="Z103" s="217" t="str">
        <f>IF($B103="","",VLOOKUP($B103,'Start List'!$B$15:$Y$139,Z$8,FALSE))</f>
        <v/>
      </c>
      <c r="AA103" s="218" t="str">
        <f>IF($B103="","",VLOOKUP($B103,'Start List'!$B$15:$Y$139,AA$8,FALSE))</f>
        <v/>
      </c>
      <c r="AB103" s="218" t="str">
        <f>IF($B103="","",VLOOKUP($B103,'Start List'!$B$15:$Y$139,AB$8,FALSE))</f>
        <v/>
      </c>
    </row>
    <row r="104" spans="1:28" ht="12.75" x14ac:dyDescent="0.2">
      <c r="A104" s="75" t="str">
        <f>'Start List'!A110</f>
        <v/>
      </c>
      <c r="B104" s="76" t="str">
        <f>IF(A104="","",LARGE('Start List'!$B$15:$B$139,A104))</f>
        <v/>
      </c>
      <c r="C104" s="76" t="str">
        <f t="shared" si="3"/>
        <v/>
      </c>
      <c r="D104" s="76" t="str">
        <f t="shared" si="4"/>
        <v/>
      </c>
      <c r="E104" s="76" t="str">
        <f t="shared" si="5"/>
        <v/>
      </c>
      <c r="F104" s="80" t="str">
        <f>IF(COUNTIF(Data!$D$2:$D$97,$C104)=0,"",VLOOKUP($C104,Data!$D$2:$H$97,F$8,FALSE))</f>
        <v/>
      </c>
      <c r="G104" s="80" t="str">
        <f>IF(COUNTIF(Data!$D$2:$D$97,$C104)=0,"",VLOOKUP($C104,Data!$D$2:$H$97,G$8,FALSE))</f>
        <v/>
      </c>
      <c r="H104" s="80" t="str">
        <f>IF(COUNTIF(Data!$D$2:$D$97,$C104)=0,"",VLOOKUP($C104,Data!$D$2:$H$97,H$8,FALSE))</f>
        <v/>
      </c>
      <c r="I104" s="80" t="str">
        <f>IF(COUNTIF(Data!$D$2:$D$97,$C104)=0,"",VLOOKUP($C104,Data!$D$2:$H$97,I$8,FALSE))</f>
        <v/>
      </c>
      <c r="J104" s="77" t="str">
        <f>IF(A104="","",VLOOKUP($B104,'Start List'!$B$15:$Y$139,J$8,FALSE))</f>
        <v/>
      </c>
      <c r="K104" s="77" t="str">
        <f>IF(B104="","",VLOOKUP($B104,'Start List'!$B$15:$Y$139,K$8,FALSE))</f>
        <v/>
      </c>
      <c r="L104" s="77" t="str">
        <f>IF(J104="","",VLOOKUP($B104,'Start List'!$B$15:$Y$139,L$8,FALSE))</f>
        <v/>
      </c>
      <c r="M104" s="79" t="str">
        <f>IF(K104="","",VLOOKUP($B104,'Start List'!$B$15:$Y$139,M$8,FALSE))</f>
        <v/>
      </c>
      <c r="N104" s="150" t="str">
        <f>IF($B104="","",VLOOKUP($B104,'Start List'!$B$15:$Y$139,N$8,FALSE))</f>
        <v/>
      </c>
      <c r="O104" s="80" t="str">
        <f>IF($B104="","",VLOOKUP($B104,'Start List'!$B$15:$Y$139,O$8,FALSE))</f>
        <v/>
      </c>
      <c r="P104" s="80" t="str">
        <f>IF($B104="","",VLOOKUP($B104,'Start List'!$B$15:$Y$139,P$8,FALSE))</f>
        <v/>
      </c>
      <c r="Q104" s="150" t="str">
        <f>IF($B104="","",VLOOKUP($B104,'Start List'!$B$15:$Y$139,Q$8,FALSE))</f>
        <v/>
      </c>
      <c r="R104" s="80" t="str">
        <f>IF($B104="","",VLOOKUP($B104,'Start List'!$B$15:$Y$139,R$8,FALSE))</f>
        <v/>
      </c>
      <c r="S104" s="150" t="str">
        <f>IF($B104="","",VLOOKUP($B104,'Start List'!$B$15:$Y$139,S$8,FALSE))</f>
        <v/>
      </c>
      <c r="T104" s="150" t="str">
        <f>IF($B104="","",VLOOKUP($B104,'Start List'!$B$15:$Y$139,T$8,FALSE))</f>
        <v/>
      </c>
      <c r="U104" s="80" t="str">
        <f>IF($B104="","",VLOOKUP($B104,'Start List'!$B$15:$Y$139,U$8,FALSE))</f>
        <v/>
      </c>
      <c r="V104" s="80" t="str">
        <f>IF($B104="","",VLOOKUP($B104,'Start List'!$B$15:$Y$139,V$8,FALSE))</f>
        <v/>
      </c>
      <c r="W104" s="150" t="str">
        <f>IF($B104="","",VLOOKUP($B104,'Start List'!$B$15:$Y$139,W$8,FALSE))</f>
        <v/>
      </c>
      <c r="X104" s="80" t="str">
        <f>IF($B104="","",VLOOKUP($B104,'Start List'!$B$15:$Y$139,X$8,FALSE))</f>
        <v/>
      </c>
      <c r="Y104" s="80" t="str">
        <f>IF($B104="","",VLOOKUP($B104,'Start List'!$B$15:$Y$139,Y$8,FALSE))</f>
        <v/>
      </c>
      <c r="Z104" s="217" t="str">
        <f>IF($B104="","",VLOOKUP($B104,'Start List'!$B$15:$Y$139,Z$8,FALSE))</f>
        <v/>
      </c>
      <c r="AA104" s="218" t="str">
        <f>IF($B104="","",VLOOKUP($B104,'Start List'!$B$15:$Y$139,AA$8,FALSE))</f>
        <v/>
      </c>
      <c r="AB104" s="218" t="str">
        <f>IF($B104="","",VLOOKUP($B104,'Start List'!$B$15:$Y$139,AB$8,FALSE))</f>
        <v/>
      </c>
    </row>
    <row r="105" spans="1:28" ht="12.75" x14ac:dyDescent="0.2">
      <c r="A105" s="75" t="str">
        <f>'Start List'!A111</f>
        <v/>
      </c>
      <c r="B105" s="76" t="str">
        <f>IF(A105="","",LARGE('Start List'!$B$15:$B$139,A105))</f>
        <v/>
      </c>
      <c r="C105" s="76" t="str">
        <f t="shared" si="3"/>
        <v/>
      </c>
      <c r="D105" s="76" t="str">
        <f t="shared" si="4"/>
        <v/>
      </c>
      <c r="E105" s="76" t="str">
        <f t="shared" si="5"/>
        <v/>
      </c>
      <c r="F105" s="80" t="str">
        <f>IF(COUNTIF(Data!$D$2:$D$97,$C105)=0,"",VLOOKUP($C105,Data!$D$2:$H$97,F$8,FALSE))</f>
        <v/>
      </c>
      <c r="G105" s="80" t="str">
        <f>IF(COUNTIF(Data!$D$2:$D$97,$C105)=0,"",VLOOKUP($C105,Data!$D$2:$H$97,G$8,FALSE))</f>
        <v/>
      </c>
      <c r="H105" s="80" t="str">
        <f>IF(COUNTIF(Data!$D$2:$D$97,$C105)=0,"",VLOOKUP($C105,Data!$D$2:$H$97,H$8,FALSE))</f>
        <v/>
      </c>
      <c r="I105" s="80" t="str">
        <f>IF(COUNTIF(Data!$D$2:$D$97,$C105)=0,"",VLOOKUP($C105,Data!$D$2:$H$97,I$8,FALSE))</f>
        <v/>
      </c>
      <c r="J105" s="77" t="str">
        <f>IF(A105="","",VLOOKUP($B105,'Start List'!$B$15:$Y$139,J$8,FALSE))</f>
        <v/>
      </c>
      <c r="K105" s="77" t="str">
        <f>IF(B105="","",VLOOKUP($B105,'Start List'!$B$15:$Y$139,K$8,FALSE))</f>
        <v/>
      </c>
      <c r="L105" s="77" t="str">
        <f>IF(J105="","",VLOOKUP($B105,'Start List'!$B$15:$Y$139,L$8,FALSE))</f>
        <v/>
      </c>
      <c r="M105" s="79" t="str">
        <f>IF(K105="","",VLOOKUP($B105,'Start List'!$B$15:$Y$139,M$8,FALSE))</f>
        <v/>
      </c>
      <c r="N105" s="150" t="str">
        <f>IF($B105="","",VLOOKUP($B105,'Start List'!$B$15:$Y$139,N$8,FALSE))</f>
        <v/>
      </c>
      <c r="O105" s="80" t="str">
        <f>IF($B105="","",VLOOKUP($B105,'Start List'!$B$15:$Y$139,O$8,FALSE))</f>
        <v/>
      </c>
      <c r="P105" s="80" t="str">
        <f>IF($B105="","",VLOOKUP($B105,'Start List'!$B$15:$Y$139,P$8,FALSE))</f>
        <v/>
      </c>
      <c r="Q105" s="150" t="str">
        <f>IF($B105="","",VLOOKUP($B105,'Start List'!$B$15:$Y$139,Q$8,FALSE))</f>
        <v/>
      </c>
      <c r="R105" s="80" t="str">
        <f>IF($B105="","",VLOOKUP($B105,'Start List'!$B$15:$Y$139,R$8,FALSE))</f>
        <v/>
      </c>
      <c r="S105" s="150" t="str">
        <f>IF($B105="","",VLOOKUP($B105,'Start List'!$B$15:$Y$139,S$8,FALSE))</f>
        <v/>
      </c>
      <c r="T105" s="150" t="str">
        <f>IF($B105="","",VLOOKUP($B105,'Start List'!$B$15:$Y$139,T$8,FALSE))</f>
        <v/>
      </c>
      <c r="U105" s="80" t="str">
        <f>IF($B105="","",VLOOKUP($B105,'Start List'!$B$15:$Y$139,U$8,FALSE))</f>
        <v/>
      </c>
      <c r="V105" s="80" t="str">
        <f>IF($B105="","",VLOOKUP($B105,'Start List'!$B$15:$Y$139,V$8,FALSE))</f>
        <v/>
      </c>
      <c r="W105" s="150" t="str">
        <f>IF($B105="","",VLOOKUP($B105,'Start List'!$B$15:$Y$139,W$8,FALSE))</f>
        <v/>
      </c>
      <c r="X105" s="80" t="str">
        <f>IF($B105="","",VLOOKUP($B105,'Start List'!$B$15:$Y$139,X$8,FALSE))</f>
        <v/>
      </c>
      <c r="Y105" s="80" t="str">
        <f>IF($B105="","",VLOOKUP($B105,'Start List'!$B$15:$Y$139,Y$8,FALSE))</f>
        <v/>
      </c>
      <c r="Z105" s="217" t="str">
        <f>IF($B105="","",VLOOKUP($B105,'Start List'!$B$15:$Y$139,Z$8,FALSE))</f>
        <v/>
      </c>
      <c r="AA105" s="218" t="str">
        <f>IF($B105="","",VLOOKUP($B105,'Start List'!$B$15:$Y$139,AA$8,FALSE))</f>
        <v/>
      </c>
      <c r="AB105" s="218" t="str">
        <f>IF($B105="","",VLOOKUP($B105,'Start List'!$B$15:$Y$139,AB$8,FALSE))</f>
        <v/>
      </c>
    </row>
    <row r="106" spans="1:28" ht="12.75" x14ac:dyDescent="0.2">
      <c r="A106" s="75" t="str">
        <f>'Start List'!A112</f>
        <v/>
      </c>
      <c r="B106" s="76" t="str">
        <f>IF(A106="","",LARGE('Start List'!$B$15:$B$139,A106))</f>
        <v/>
      </c>
      <c r="C106" s="76" t="str">
        <f t="shared" si="3"/>
        <v/>
      </c>
      <c r="D106" s="76" t="str">
        <f t="shared" si="4"/>
        <v/>
      </c>
      <c r="E106" s="76" t="str">
        <f t="shared" si="5"/>
        <v/>
      </c>
      <c r="F106" s="80" t="str">
        <f>IF(COUNTIF(Data!$D$2:$D$97,$C106)=0,"",VLOOKUP($C106,Data!$D$2:$H$97,F$8,FALSE))</f>
        <v/>
      </c>
      <c r="G106" s="80" t="str">
        <f>IF(COUNTIF(Data!$D$2:$D$97,$C106)=0,"",VLOOKUP($C106,Data!$D$2:$H$97,G$8,FALSE))</f>
        <v/>
      </c>
      <c r="H106" s="80" t="str">
        <f>IF(COUNTIF(Data!$D$2:$D$97,$C106)=0,"",VLOOKUP($C106,Data!$D$2:$H$97,H$8,FALSE))</f>
        <v/>
      </c>
      <c r="I106" s="80" t="str">
        <f>IF(COUNTIF(Data!$D$2:$D$97,$C106)=0,"",VLOOKUP($C106,Data!$D$2:$H$97,I$8,FALSE))</f>
        <v/>
      </c>
      <c r="J106" s="77" t="str">
        <f>IF(A106="","",VLOOKUP($B106,'Start List'!$B$15:$Y$139,J$8,FALSE))</f>
        <v/>
      </c>
      <c r="K106" s="77" t="str">
        <f>IF(B106="","",VLOOKUP($B106,'Start List'!$B$15:$Y$139,K$8,FALSE))</f>
        <v/>
      </c>
      <c r="L106" s="77" t="str">
        <f>IF(J106="","",VLOOKUP($B106,'Start List'!$B$15:$Y$139,L$8,FALSE))</f>
        <v/>
      </c>
      <c r="M106" s="79" t="str">
        <f>IF(K106="","",VLOOKUP($B106,'Start List'!$B$15:$Y$139,M$8,FALSE))</f>
        <v/>
      </c>
      <c r="N106" s="150" t="str">
        <f>IF($B106="","",VLOOKUP($B106,'Start List'!$B$15:$Y$139,N$8,FALSE))</f>
        <v/>
      </c>
      <c r="O106" s="80" t="str">
        <f>IF($B106="","",VLOOKUP($B106,'Start List'!$B$15:$Y$139,O$8,FALSE))</f>
        <v/>
      </c>
      <c r="P106" s="80" t="str">
        <f>IF($B106="","",VLOOKUP($B106,'Start List'!$B$15:$Y$139,P$8,FALSE))</f>
        <v/>
      </c>
      <c r="Q106" s="150" t="str">
        <f>IF($B106="","",VLOOKUP($B106,'Start List'!$B$15:$Y$139,Q$8,FALSE))</f>
        <v/>
      </c>
      <c r="R106" s="80" t="str">
        <f>IF($B106="","",VLOOKUP($B106,'Start List'!$B$15:$Y$139,R$8,FALSE))</f>
        <v/>
      </c>
      <c r="S106" s="150" t="str">
        <f>IF($B106="","",VLOOKUP($B106,'Start List'!$B$15:$Y$139,S$8,FALSE))</f>
        <v/>
      </c>
      <c r="T106" s="150" t="str">
        <f>IF($B106="","",VLOOKUP($B106,'Start List'!$B$15:$Y$139,T$8,FALSE))</f>
        <v/>
      </c>
      <c r="U106" s="80" t="str">
        <f>IF($B106="","",VLOOKUP($B106,'Start List'!$B$15:$Y$139,U$8,FALSE))</f>
        <v/>
      </c>
      <c r="V106" s="80" t="str">
        <f>IF($B106="","",VLOOKUP($B106,'Start List'!$B$15:$Y$139,V$8,FALSE))</f>
        <v/>
      </c>
      <c r="W106" s="150" t="str">
        <f>IF($B106="","",VLOOKUP($B106,'Start List'!$B$15:$Y$139,W$8,FALSE))</f>
        <v/>
      </c>
      <c r="X106" s="80" t="str">
        <f>IF($B106="","",VLOOKUP($B106,'Start List'!$B$15:$Y$139,X$8,FALSE))</f>
        <v/>
      </c>
      <c r="Y106" s="80" t="str">
        <f>IF($B106="","",VLOOKUP($B106,'Start List'!$B$15:$Y$139,Y$8,FALSE))</f>
        <v/>
      </c>
      <c r="Z106" s="217" t="str">
        <f>IF($B106="","",VLOOKUP($B106,'Start List'!$B$15:$Y$139,Z$8,FALSE))</f>
        <v/>
      </c>
      <c r="AA106" s="218" t="str">
        <f>IF($B106="","",VLOOKUP($B106,'Start List'!$B$15:$Y$139,AA$8,FALSE))</f>
        <v/>
      </c>
      <c r="AB106" s="218" t="str">
        <f>IF($B106="","",VLOOKUP($B106,'Start List'!$B$15:$Y$139,AB$8,FALSE))</f>
        <v/>
      </c>
    </row>
    <row r="107" spans="1:28" ht="12.75" x14ac:dyDescent="0.2">
      <c r="A107" s="75" t="str">
        <f>'Start List'!A113</f>
        <v/>
      </c>
      <c r="B107" s="76" t="str">
        <f>IF(A107="","",LARGE('Start List'!$B$15:$B$139,A107))</f>
        <v/>
      </c>
      <c r="C107" s="76" t="str">
        <f t="shared" si="3"/>
        <v/>
      </c>
      <c r="D107" s="76" t="str">
        <f t="shared" si="4"/>
        <v/>
      </c>
      <c r="E107" s="76" t="str">
        <f t="shared" si="5"/>
        <v/>
      </c>
      <c r="F107" s="80" t="str">
        <f>IF(COUNTIF(Data!$D$2:$D$97,$C107)=0,"",VLOOKUP($C107,Data!$D$2:$H$97,F$8,FALSE))</f>
        <v/>
      </c>
      <c r="G107" s="80" t="str">
        <f>IF(COUNTIF(Data!$D$2:$D$97,$C107)=0,"",VLOOKUP($C107,Data!$D$2:$H$97,G$8,FALSE))</f>
        <v/>
      </c>
      <c r="H107" s="80" t="str">
        <f>IF(COUNTIF(Data!$D$2:$D$97,$C107)=0,"",VLOOKUP($C107,Data!$D$2:$H$97,H$8,FALSE))</f>
        <v/>
      </c>
      <c r="I107" s="80" t="str">
        <f>IF(COUNTIF(Data!$D$2:$D$97,$C107)=0,"",VLOOKUP($C107,Data!$D$2:$H$97,I$8,FALSE))</f>
        <v/>
      </c>
      <c r="J107" s="77" t="str">
        <f>IF(A107="","",VLOOKUP($B107,'Start List'!$B$15:$Y$139,J$8,FALSE))</f>
        <v/>
      </c>
      <c r="K107" s="77" t="str">
        <f>IF(B107="","",VLOOKUP($B107,'Start List'!$B$15:$Y$139,K$8,FALSE))</f>
        <v/>
      </c>
      <c r="L107" s="77" t="str">
        <f>IF(J107="","",VLOOKUP($B107,'Start List'!$B$15:$Y$139,L$8,FALSE))</f>
        <v/>
      </c>
      <c r="M107" s="79" t="str">
        <f>IF(K107="","",VLOOKUP($B107,'Start List'!$B$15:$Y$139,M$8,FALSE))</f>
        <v/>
      </c>
      <c r="N107" s="150" t="str">
        <f>IF($B107="","",VLOOKUP($B107,'Start List'!$B$15:$Y$139,N$8,FALSE))</f>
        <v/>
      </c>
      <c r="O107" s="80" t="str">
        <f>IF($B107="","",VLOOKUP($B107,'Start List'!$B$15:$Y$139,O$8,FALSE))</f>
        <v/>
      </c>
      <c r="P107" s="80" t="str">
        <f>IF($B107="","",VLOOKUP($B107,'Start List'!$B$15:$Y$139,P$8,FALSE))</f>
        <v/>
      </c>
      <c r="Q107" s="150" t="str">
        <f>IF($B107="","",VLOOKUP($B107,'Start List'!$B$15:$Y$139,Q$8,FALSE))</f>
        <v/>
      </c>
      <c r="R107" s="80" t="str">
        <f>IF($B107="","",VLOOKUP($B107,'Start List'!$B$15:$Y$139,R$8,FALSE))</f>
        <v/>
      </c>
      <c r="S107" s="150" t="str">
        <f>IF($B107="","",VLOOKUP($B107,'Start List'!$B$15:$Y$139,S$8,FALSE))</f>
        <v/>
      </c>
      <c r="T107" s="150" t="str">
        <f>IF($B107="","",VLOOKUP($B107,'Start List'!$B$15:$Y$139,T$8,FALSE))</f>
        <v/>
      </c>
      <c r="U107" s="80" t="str">
        <f>IF($B107="","",VLOOKUP($B107,'Start List'!$B$15:$Y$139,U$8,FALSE))</f>
        <v/>
      </c>
      <c r="V107" s="80" t="str">
        <f>IF($B107="","",VLOOKUP($B107,'Start List'!$B$15:$Y$139,V$8,FALSE))</f>
        <v/>
      </c>
      <c r="W107" s="150" t="str">
        <f>IF($B107="","",VLOOKUP($B107,'Start List'!$B$15:$Y$139,W$8,FALSE))</f>
        <v/>
      </c>
      <c r="X107" s="80" t="str">
        <f>IF($B107="","",VLOOKUP($B107,'Start List'!$B$15:$Y$139,X$8,FALSE))</f>
        <v/>
      </c>
      <c r="Y107" s="80" t="str">
        <f>IF($B107="","",VLOOKUP($B107,'Start List'!$B$15:$Y$139,Y$8,FALSE))</f>
        <v/>
      </c>
      <c r="Z107" s="217" t="str">
        <f>IF($B107="","",VLOOKUP($B107,'Start List'!$B$15:$Y$139,Z$8,FALSE))</f>
        <v/>
      </c>
      <c r="AA107" s="218" t="str">
        <f>IF($B107="","",VLOOKUP($B107,'Start List'!$B$15:$Y$139,AA$8,FALSE))</f>
        <v/>
      </c>
      <c r="AB107" s="218" t="str">
        <f>IF($B107="","",VLOOKUP($B107,'Start List'!$B$15:$Y$139,AB$8,FALSE))</f>
        <v/>
      </c>
    </row>
    <row r="108" spans="1:28" ht="12.75" x14ac:dyDescent="0.2">
      <c r="A108" s="75" t="str">
        <f>'Start List'!A114</f>
        <v/>
      </c>
      <c r="B108" s="76" t="str">
        <f>IF(A108="","",LARGE('Start List'!$B$15:$B$139,A108))</f>
        <v/>
      </c>
      <c r="C108" s="76" t="str">
        <f t="shared" si="3"/>
        <v/>
      </c>
      <c r="D108" s="76" t="str">
        <f t="shared" si="4"/>
        <v/>
      </c>
      <c r="E108" s="76" t="str">
        <f t="shared" si="5"/>
        <v/>
      </c>
      <c r="F108" s="80" t="str">
        <f>IF(COUNTIF(Data!$D$2:$D$97,$C108)=0,"",VLOOKUP($C108,Data!$D$2:$H$97,F$8,FALSE))</f>
        <v/>
      </c>
      <c r="G108" s="80" t="str">
        <f>IF(COUNTIF(Data!$D$2:$D$97,$C108)=0,"",VLOOKUP($C108,Data!$D$2:$H$97,G$8,FALSE))</f>
        <v/>
      </c>
      <c r="H108" s="80" t="str">
        <f>IF(COUNTIF(Data!$D$2:$D$97,$C108)=0,"",VLOOKUP($C108,Data!$D$2:$H$97,H$8,FALSE))</f>
        <v/>
      </c>
      <c r="I108" s="80" t="str">
        <f>IF(COUNTIF(Data!$D$2:$D$97,$C108)=0,"",VLOOKUP($C108,Data!$D$2:$H$97,I$8,FALSE))</f>
        <v/>
      </c>
      <c r="J108" s="77" t="str">
        <f>IF(A108="","",VLOOKUP($B108,'Start List'!$B$15:$Y$139,J$8,FALSE))</f>
        <v/>
      </c>
      <c r="K108" s="77" t="str">
        <f>IF(B108="","",VLOOKUP($B108,'Start List'!$B$15:$Y$139,K$8,FALSE))</f>
        <v/>
      </c>
      <c r="L108" s="77" t="str">
        <f>IF(J108="","",VLOOKUP($B108,'Start List'!$B$15:$Y$139,L$8,FALSE))</f>
        <v/>
      </c>
      <c r="M108" s="79" t="str">
        <f>IF(K108="","",VLOOKUP($B108,'Start List'!$B$15:$Y$139,M$8,FALSE))</f>
        <v/>
      </c>
      <c r="N108" s="150" t="str">
        <f>IF($B108="","",VLOOKUP($B108,'Start List'!$B$15:$Y$139,N$8,FALSE))</f>
        <v/>
      </c>
      <c r="O108" s="80" t="str">
        <f>IF($B108="","",VLOOKUP($B108,'Start List'!$B$15:$Y$139,O$8,FALSE))</f>
        <v/>
      </c>
      <c r="P108" s="80" t="str">
        <f>IF($B108="","",VLOOKUP($B108,'Start List'!$B$15:$Y$139,P$8,FALSE))</f>
        <v/>
      </c>
      <c r="Q108" s="150" t="str">
        <f>IF($B108="","",VLOOKUP($B108,'Start List'!$B$15:$Y$139,Q$8,FALSE))</f>
        <v/>
      </c>
      <c r="R108" s="80" t="str">
        <f>IF($B108="","",VLOOKUP($B108,'Start List'!$B$15:$Y$139,R$8,FALSE))</f>
        <v/>
      </c>
      <c r="S108" s="150" t="str">
        <f>IF($B108="","",VLOOKUP($B108,'Start List'!$B$15:$Y$139,S$8,FALSE))</f>
        <v/>
      </c>
      <c r="T108" s="150" t="str">
        <f>IF($B108="","",VLOOKUP($B108,'Start List'!$B$15:$Y$139,T$8,FALSE))</f>
        <v/>
      </c>
      <c r="U108" s="80" t="str">
        <f>IF($B108="","",VLOOKUP($B108,'Start List'!$B$15:$Y$139,U$8,FALSE))</f>
        <v/>
      </c>
      <c r="V108" s="80" t="str">
        <f>IF($B108="","",VLOOKUP($B108,'Start List'!$B$15:$Y$139,V$8,FALSE))</f>
        <v/>
      </c>
      <c r="W108" s="150" t="str">
        <f>IF($B108="","",VLOOKUP($B108,'Start List'!$B$15:$Y$139,W$8,FALSE))</f>
        <v/>
      </c>
      <c r="X108" s="80" t="str">
        <f>IF($B108="","",VLOOKUP($B108,'Start List'!$B$15:$Y$139,X$8,FALSE))</f>
        <v/>
      </c>
      <c r="Y108" s="80" t="str">
        <f>IF($B108="","",VLOOKUP($B108,'Start List'!$B$15:$Y$139,Y$8,FALSE))</f>
        <v/>
      </c>
      <c r="Z108" s="217" t="str">
        <f>IF($B108="","",VLOOKUP($B108,'Start List'!$B$15:$Y$139,Z$8,FALSE))</f>
        <v/>
      </c>
      <c r="AA108" s="218" t="str">
        <f>IF($B108="","",VLOOKUP($B108,'Start List'!$B$15:$Y$139,AA$8,FALSE))</f>
        <v/>
      </c>
      <c r="AB108" s="218" t="str">
        <f>IF($B108="","",VLOOKUP($B108,'Start List'!$B$15:$Y$139,AB$8,FALSE))</f>
        <v/>
      </c>
    </row>
    <row r="109" spans="1:28" ht="12.75" x14ac:dyDescent="0.2">
      <c r="A109" s="75" t="str">
        <f>'Start List'!A115</f>
        <v/>
      </c>
      <c r="B109" s="76" t="str">
        <f>IF(A109="","",LARGE('Start List'!$B$15:$B$139,A109))</f>
        <v/>
      </c>
      <c r="C109" s="76" t="str">
        <f t="shared" si="3"/>
        <v/>
      </c>
      <c r="D109" s="76" t="str">
        <f t="shared" si="4"/>
        <v/>
      </c>
      <c r="E109" s="76" t="str">
        <f t="shared" si="5"/>
        <v/>
      </c>
      <c r="F109" s="80" t="str">
        <f>IF(COUNTIF(Data!$D$2:$D$97,$C109)=0,"",VLOOKUP($C109,Data!$D$2:$H$97,F$8,FALSE))</f>
        <v/>
      </c>
      <c r="G109" s="80" t="str">
        <f>IF(COUNTIF(Data!$D$2:$D$97,$C109)=0,"",VLOOKUP($C109,Data!$D$2:$H$97,G$8,FALSE))</f>
        <v/>
      </c>
      <c r="H109" s="80" t="str">
        <f>IF(COUNTIF(Data!$D$2:$D$97,$C109)=0,"",VLOOKUP($C109,Data!$D$2:$H$97,H$8,FALSE))</f>
        <v/>
      </c>
      <c r="I109" s="80" t="str">
        <f>IF(COUNTIF(Data!$D$2:$D$97,$C109)=0,"",VLOOKUP($C109,Data!$D$2:$H$97,I$8,FALSE))</f>
        <v/>
      </c>
      <c r="J109" s="77" t="str">
        <f>IF(A109="","",VLOOKUP($B109,'Start List'!$B$15:$Y$139,J$8,FALSE))</f>
        <v/>
      </c>
      <c r="K109" s="77" t="str">
        <f>IF(B109="","",VLOOKUP($B109,'Start List'!$B$15:$Y$139,K$8,FALSE))</f>
        <v/>
      </c>
      <c r="L109" s="77" t="str">
        <f>IF(J109="","",VLOOKUP($B109,'Start List'!$B$15:$Y$139,L$8,FALSE))</f>
        <v/>
      </c>
      <c r="M109" s="79" t="str">
        <f>IF(K109="","",VLOOKUP($B109,'Start List'!$B$15:$Y$139,M$8,FALSE))</f>
        <v/>
      </c>
      <c r="N109" s="150" t="str">
        <f>IF($B109="","",VLOOKUP($B109,'Start List'!$B$15:$Y$139,N$8,FALSE))</f>
        <v/>
      </c>
      <c r="O109" s="80" t="str">
        <f>IF($B109="","",VLOOKUP($B109,'Start List'!$B$15:$Y$139,O$8,FALSE))</f>
        <v/>
      </c>
      <c r="P109" s="80" t="str">
        <f>IF($B109="","",VLOOKUP($B109,'Start List'!$B$15:$Y$139,P$8,FALSE))</f>
        <v/>
      </c>
      <c r="Q109" s="150" t="str">
        <f>IF($B109="","",VLOOKUP($B109,'Start List'!$B$15:$Y$139,Q$8,FALSE))</f>
        <v/>
      </c>
      <c r="R109" s="80" t="str">
        <f>IF($B109="","",VLOOKUP($B109,'Start List'!$B$15:$Y$139,R$8,FALSE))</f>
        <v/>
      </c>
      <c r="S109" s="150" t="str">
        <f>IF($B109="","",VLOOKUP($B109,'Start List'!$B$15:$Y$139,S$8,FALSE))</f>
        <v/>
      </c>
      <c r="T109" s="150" t="str">
        <f>IF($B109="","",VLOOKUP($B109,'Start List'!$B$15:$Y$139,T$8,FALSE))</f>
        <v/>
      </c>
      <c r="U109" s="80" t="str">
        <f>IF($B109="","",VLOOKUP($B109,'Start List'!$B$15:$Y$139,U$8,FALSE))</f>
        <v/>
      </c>
      <c r="V109" s="80" t="str">
        <f>IF($B109="","",VLOOKUP($B109,'Start List'!$B$15:$Y$139,V$8,FALSE))</f>
        <v/>
      </c>
      <c r="W109" s="150" t="str">
        <f>IF($B109="","",VLOOKUP($B109,'Start List'!$B$15:$Y$139,W$8,FALSE))</f>
        <v/>
      </c>
      <c r="X109" s="80" t="str">
        <f>IF($B109="","",VLOOKUP($B109,'Start List'!$B$15:$Y$139,X$8,FALSE))</f>
        <v/>
      </c>
      <c r="Y109" s="80" t="str">
        <f>IF($B109="","",VLOOKUP($B109,'Start List'!$B$15:$Y$139,Y$8,FALSE))</f>
        <v/>
      </c>
      <c r="Z109" s="217" t="str">
        <f>IF($B109="","",VLOOKUP($B109,'Start List'!$B$15:$Y$139,Z$8,FALSE))</f>
        <v/>
      </c>
      <c r="AA109" s="218" t="str">
        <f>IF($B109="","",VLOOKUP($B109,'Start List'!$B$15:$Y$139,AA$8,FALSE))</f>
        <v/>
      </c>
      <c r="AB109" s="218" t="str">
        <f>IF($B109="","",VLOOKUP($B109,'Start List'!$B$15:$Y$139,AB$8,FALSE))</f>
        <v/>
      </c>
    </row>
    <row r="110" spans="1:28" ht="12.75" x14ac:dyDescent="0.2">
      <c r="A110" s="75" t="str">
        <f>'Start List'!A116</f>
        <v/>
      </c>
      <c r="B110" s="76" t="str">
        <f>IF(A110="","",LARGE('Start List'!$B$15:$B$139,A110))</f>
        <v/>
      </c>
      <c r="C110" s="76" t="str">
        <f t="shared" si="3"/>
        <v/>
      </c>
      <c r="D110" s="76" t="str">
        <f t="shared" si="4"/>
        <v/>
      </c>
      <c r="E110" s="76" t="str">
        <f t="shared" si="5"/>
        <v/>
      </c>
      <c r="F110" s="80" t="str">
        <f>IF(COUNTIF(Data!$D$2:$D$97,$C110)=0,"",VLOOKUP($C110,Data!$D$2:$H$97,F$8,FALSE))</f>
        <v/>
      </c>
      <c r="G110" s="80" t="str">
        <f>IF(COUNTIF(Data!$D$2:$D$97,$C110)=0,"",VLOOKUP($C110,Data!$D$2:$H$97,G$8,FALSE))</f>
        <v/>
      </c>
      <c r="H110" s="80" t="str">
        <f>IF(COUNTIF(Data!$D$2:$D$97,$C110)=0,"",VLOOKUP($C110,Data!$D$2:$H$97,H$8,FALSE))</f>
        <v/>
      </c>
      <c r="I110" s="80" t="str">
        <f>IF(COUNTIF(Data!$D$2:$D$97,$C110)=0,"",VLOOKUP($C110,Data!$D$2:$H$97,I$8,FALSE))</f>
        <v/>
      </c>
      <c r="J110" s="77" t="str">
        <f>IF(A110="","",VLOOKUP($B110,'Start List'!$B$15:$Y$139,J$8,FALSE))</f>
        <v/>
      </c>
      <c r="K110" s="77" t="str">
        <f>IF(B110="","",VLOOKUP($B110,'Start List'!$B$15:$Y$139,K$8,FALSE))</f>
        <v/>
      </c>
      <c r="L110" s="77" t="str">
        <f>IF(J110="","",VLOOKUP($B110,'Start List'!$B$15:$Y$139,L$8,FALSE))</f>
        <v/>
      </c>
      <c r="M110" s="79" t="str">
        <f>IF(K110="","",VLOOKUP($B110,'Start List'!$B$15:$Y$139,M$8,FALSE))</f>
        <v/>
      </c>
      <c r="N110" s="150" t="str">
        <f>IF($B110="","",VLOOKUP($B110,'Start List'!$B$15:$Y$139,N$8,FALSE))</f>
        <v/>
      </c>
      <c r="O110" s="80" t="str">
        <f>IF($B110="","",VLOOKUP($B110,'Start List'!$B$15:$Y$139,O$8,FALSE))</f>
        <v/>
      </c>
      <c r="P110" s="80" t="str">
        <f>IF($B110="","",VLOOKUP($B110,'Start List'!$B$15:$Y$139,P$8,FALSE))</f>
        <v/>
      </c>
      <c r="Q110" s="150" t="str">
        <f>IF($B110="","",VLOOKUP($B110,'Start List'!$B$15:$Y$139,Q$8,FALSE))</f>
        <v/>
      </c>
      <c r="R110" s="80" t="str">
        <f>IF($B110="","",VLOOKUP($B110,'Start List'!$B$15:$Y$139,R$8,FALSE))</f>
        <v/>
      </c>
      <c r="S110" s="150" t="str">
        <f>IF($B110="","",VLOOKUP($B110,'Start List'!$B$15:$Y$139,S$8,FALSE))</f>
        <v/>
      </c>
      <c r="T110" s="150" t="str">
        <f>IF($B110="","",VLOOKUP($B110,'Start List'!$B$15:$Y$139,T$8,FALSE))</f>
        <v/>
      </c>
      <c r="U110" s="80" t="str">
        <f>IF($B110="","",VLOOKUP($B110,'Start List'!$B$15:$Y$139,U$8,FALSE))</f>
        <v/>
      </c>
      <c r="V110" s="80" t="str">
        <f>IF($B110="","",VLOOKUP($B110,'Start List'!$B$15:$Y$139,V$8,FALSE))</f>
        <v/>
      </c>
      <c r="W110" s="150" t="str">
        <f>IF($B110="","",VLOOKUP($B110,'Start List'!$B$15:$Y$139,W$8,FALSE))</f>
        <v/>
      </c>
      <c r="X110" s="80" t="str">
        <f>IF($B110="","",VLOOKUP($B110,'Start List'!$B$15:$Y$139,X$8,FALSE))</f>
        <v/>
      </c>
      <c r="Y110" s="80" t="str">
        <f>IF($B110="","",VLOOKUP($B110,'Start List'!$B$15:$Y$139,Y$8,FALSE))</f>
        <v/>
      </c>
      <c r="Z110" s="217" t="str">
        <f>IF($B110="","",VLOOKUP($B110,'Start List'!$B$15:$Y$139,Z$8,FALSE))</f>
        <v/>
      </c>
      <c r="AA110" s="218" t="str">
        <f>IF($B110="","",VLOOKUP($B110,'Start List'!$B$15:$Y$139,AA$8,FALSE))</f>
        <v/>
      </c>
      <c r="AB110" s="218" t="str">
        <f>IF($B110="","",VLOOKUP($B110,'Start List'!$B$15:$Y$139,AB$8,FALSE))</f>
        <v/>
      </c>
    </row>
    <row r="111" spans="1:28" ht="12.75" x14ac:dyDescent="0.2">
      <c r="A111" s="75" t="str">
        <f>'Start List'!A117</f>
        <v/>
      </c>
      <c r="B111" s="76" t="str">
        <f>IF(A111="","",LARGE('Start List'!$B$15:$B$139,A111))</f>
        <v/>
      </c>
      <c r="C111" s="76" t="str">
        <f t="shared" si="3"/>
        <v/>
      </c>
      <c r="D111" s="76" t="str">
        <f t="shared" si="4"/>
        <v/>
      </c>
      <c r="E111" s="76" t="str">
        <f t="shared" si="5"/>
        <v/>
      </c>
      <c r="F111" s="80" t="str">
        <f>IF(COUNTIF(Data!$D$2:$D$97,$C111)=0,"",VLOOKUP($C111,Data!$D$2:$H$97,F$8,FALSE))</f>
        <v/>
      </c>
      <c r="G111" s="80" t="str">
        <f>IF(COUNTIF(Data!$D$2:$D$97,$C111)=0,"",VLOOKUP($C111,Data!$D$2:$H$97,G$8,FALSE))</f>
        <v/>
      </c>
      <c r="H111" s="80" t="str">
        <f>IF(COUNTIF(Data!$D$2:$D$97,$C111)=0,"",VLOOKUP($C111,Data!$D$2:$H$97,H$8,FALSE))</f>
        <v/>
      </c>
      <c r="I111" s="80" t="str">
        <f>IF(COUNTIF(Data!$D$2:$D$97,$C111)=0,"",VLOOKUP($C111,Data!$D$2:$H$97,I$8,FALSE))</f>
        <v/>
      </c>
      <c r="J111" s="77" t="str">
        <f>IF(A111="","",VLOOKUP($B111,'Start List'!$B$15:$Y$139,J$8,FALSE))</f>
        <v/>
      </c>
      <c r="K111" s="77" t="str">
        <f>IF(B111="","",VLOOKUP($B111,'Start List'!$B$15:$Y$139,K$8,FALSE))</f>
        <v/>
      </c>
      <c r="L111" s="77" t="str">
        <f>IF(J111="","",VLOOKUP($B111,'Start List'!$B$15:$Y$139,L$8,FALSE))</f>
        <v/>
      </c>
      <c r="M111" s="79" t="str">
        <f>IF(K111="","",VLOOKUP($B111,'Start List'!$B$15:$Y$139,M$8,FALSE))</f>
        <v/>
      </c>
      <c r="N111" s="150" t="str">
        <f>IF($B111="","",VLOOKUP($B111,'Start List'!$B$15:$Y$139,N$8,FALSE))</f>
        <v/>
      </c>
      <c r="O111" s="80" t="str">
        <f>IF($B111="","",VLOOKUP($B111,'Start List'!$B$15:$Y$139,O$8,FALSE))</f>
        <v/>
      </c>
      <c r="P111" s="80" t="str">
        <f>IF($B111="","",VLOOKUP($B111,'Start List'!$B$15:$Y$139,P$8,FALSE))</f>
        <v/>
      </c>
      <c r="Q111" s="150" t="str">
        <f>IF($B111="","",VLOOKUP($B111,'Start List'!$B$15:$Y$139,Q$8,FALSE))</f>
        <v/>
      </c>
      <c r="R111" s="80" t="str">
        <f>IF($B111="","",VLOOKUP($B111,'Start List'!$B$15:$Y$139,R$8,FALSE))</f>
        <v/>
      </c>
      <c r="S111" s="150" t="str">
        <f>IF($B111="","",VLOOKUP($B111,'Start List'!$B$15:$Y$139,S$8,FALSE))</f>
        <v/>
      </c>
      <c r="T111" s="150" t="str">
        <f>IF($B111="","",VLOOKUP($B111,'Start List'!$B$15:$Y$139,T$8,FALSE))</f>
        <v/>
      </c>
      <c r="U111" s="80" t="str">
        <f>IF($B111="","",VLOOKUP($B111,'Start List'!$B$15:$Y$139,U$8,FALSE))</f>
        <v/>
      </c>
      <c r="V111" s="80" t="str">
        <f>IF($B111="","",VLOOKUP($B111,'Start List'!$B$15:$Y$139,V$8,FALSE))</f>
        <v/>
      </c>
      <c r="W111" s="150" t="str">
        <f>IF($B111="","",VLOOKUP($B111,'Start List'!$B$15:$Y$139,W$8,FALSE))</f>
        <v/>
      </c>
      <c r="X111" s="80" t="str">
        <f>IF($B111="","",VLOOKUP($B111,'Start List'!$B$15:$Y$139,X$8,FALSE))</f>
        <v/>
      </c>
      <c r="Y111" s="80" t="str">
        <f>IF($B111="","",VLOOKUP($B111,'Start List'!$B$15:$Y$139,Y$8,FALSE))</f>
        <v/>
      </c>
      <c r="Z111" s="217" t="str">
        <f>IF($B111="","",VLOOKUP($B111,'Start List'!$B$15:$Y$139,Z$8,FALSE))</f>
        <v/>
      </c>
      <c r="AA111" s="218" t="str">
        <f>IF($B111="","",VLOOKUP($B111,'Start List'!$B$15:$Y$139,AA$8,FALSE))</f>
        <v/>
      </c>
      <c r="AB111" s="218" t="str">
        <f>IF($B111="","",VLOOKUP($B111,'Start List'!$B$15:$Y$139,AB$8,FALSE))</f>
        <v/>
      </c>
    </row>
    <row r="112" spans="1:28" ht="12.75" x14ac:dyDescent="0.2">
      <c r="A112" s="75" t="str">
        <f>'Start List'!A118</f>
        <v/>
      </c>
      <c r="B112" s="76" t="str">
        <f>IF(A112="","",LARGE('Start List'!$B$15:$B$139,A112))</f>
        <v/>
      </c>
      <c r="C112" s="76" t="str">
        <f t="shared" si="3"/>
        <v/>
      </c>
      <c r="D112" s="76" t="str">
        <f t="shared" si="4"/>
        <v/>
      </c>
      <c r="E112" s="76" t="str">
        <f t="shared" si="5"/>
        <v/>
      </c>
      <c r="F112" s="80" t="str">
        <f>IF(COUNTIF(Data!$D$2:$D$97,$C112)=0,"",VLOOKUP($C112,Data!$D$2:$H$97,F$8,FALSE))</f>
        <v/>
      </c>
      <c r="G112" s="80" t="str">
        <f>IF(COUNTIF(Data!$D$2:$D$97,$C112)=0,"",VLOOKUP($C112,Data!$D$2:$H$97,G$8,FALSE))</f>
        <v/>
      </c>
      <c r="H112" s="80" t="str">
        <f>IF(COUNTIF(Data!$D$2:$D$97,$C112)=0,"",VLOOKUP($C112,Data!$D$2:$H$97,H$8,FALSE))</f>
        <v/>
      </c>
      <c r="I112" s="80" t="str">
        <f>IF(COUNTIF(Data!$D$2:$D$97,$C112)=0,"",VLOOKUP($C112,Data!$D$2:$H$97,I$8,FALSE))</f>
        <v/>
      </c>
      <c r="J112" s="77" t="str">
        <f>IF(A112="","",VLOOKUP($B112,'Start List'!$B$15:$Y$139,J$8,FALSE))</f>
        <v/>
      </c>
      <c r="K112" s="77" t="str">
        <f>IF(B112="","",VLOOKUP($B112,'Start List'!$B$15:$Y$139,K$8,FALSE))</f>
        <v/>
      </c>
      <c r="L112" s="77" t="str">
        <f>IF(J112="","",VLOOKUP($B112,'Start List'!$B$15:$Y$139,L$8,FALSE))</f>
        <v/>
      </c>
      <c r="M112" s="79" t="str">
        <f>IF(K112="","",VLOOKUP($B112,'Start List'!$B$15:$Y$139,M$8,FALSE))</f>
        <v/>
      </c>
      <c r="N112" s="150" t="str">
        <f>IF($B112="","",VLOOKUP($B112,'Start List'!$B$15:$Y$139,N$8,FALSE))</f>
        <v/>
      </c>
      <c r="O112" s="80" t="str">
        <f>IF($B112="","",VLOOKUP($B112,'Start List'!$B$15:$Y$139,O$8,FALSE))</f>
        <v/>
      </c>
      <c r="P112" s="80" t="str">
        <f>IF($B112="","",VLOOKUP($B112,'Start List'!$B$15:$Y$139,P$8,FALSE))</f>
        <v/>
      </c>
      <c r="Q112" s="150" t="str">
        <f>IF($B112="","",VLOOKUP($B112,'Start List'!$B$15:$Y$139,Q$8,FALSE))</f>
        <v/>
      </c>
      <c r="R112" s="80" t="str">
        <f>IF($B112="","",VLOOKUP($B112,'Start List'!$B$15:$Y$139,R$8,FALSE))</f>
        <v/>
      </c>
      <c r="S112" s="150" t="str">
        <f>IF($B112="","",VLOOKUP($B112,'Start List'!$B$15:$Y$139,S$8,FALSE))</f>
        <v/>
      </c>
      <c r="T112" s="150" t="str">
        <f>IF($B112="","",VLOOKUP($B112,'Start List'!$B$15:$Y$139,T$8,FALSE))</f>
        <v/>
      </c>
      <c r="U112" s="80" t="str">
        <f>IF($B112="","",VLOOKUP($B112,'Start List'!$B$15:$Y$139,U$8,FALSE))</f>
        <v/>
      </c>
      <c r="V112" s="80" t="str">
        <f>IF($B112="","",VLOOKUP($B112,'Start List'!$B$15:$Y$139,V$8,FALSE))</f>
        <v/>
      </c>
      <c r="W112" s="150" t="str">
        <f>IF($B112="","",VLOOKUP($B112,'Start List'!$B$15:$Y$139,W$8,FALSE))</f>
        <v/>
      </c>
      <c r="X112" s="80" t="str">
        <f>IF($B112="","",VLOOKUP($B112,'Start List'!$B$15:$Y$139,X$8,FALSE))</f>
        <v/>
      </c>
      <c r="Y112" s="80" t="str">
        <f>IF($B112="","",VLOOKUP($B112,'Start List'!$B$15:$Y$139,Y$8,FALSE))</f>
        <v/>
      </c>
      <c r="Z112" s="217" t="str">
        <f>IF($B112="","",VLOOKUP($B112,'Start List'!$B$15:$Y$139,Z$8,FALSE))</f>
        <v/>
      </c>
      <c r="AA112" s="218" t="str">
        <f>IF($B112="","",VLOOKUP($B112,'Start List'!$B$15:$Y$139,AA$8,FALSE))</f>
        <v/>
      </c>
      <c r="AB112" s="218" t="str">
        <f>IF($B112="","",VLOOKUP($B112,'Start List'!$B$15:$Y$139,AB$8,FALSE))</f>
        <v/>
      </c>
    </row>
    <row r="113" spans="1:28" ht="12.75" x14ac:dyDescent="0.2">
      <c r="A113" s="75" t="str">
        <f>'Start List'!A119</f>
        <v/>
      </c>
      <c r="B113" s="76" t="str">
        <f>IF(A113="","",LARGE('Start List'!$B$15:$B$139,A113))</f>
        <v/>
      </c>
      <c r="C113" s="76" t="str">
        <f t="shared" si="3"/>
        <v/>
      </c>
      <c r="D113" s="76" t="str">
        <f t="shared" si="4"/>
        <v/>
      </c>
      <c r="E113" s="76" t="str">
        <f t="shared" si="5"/>
        <v/>
      </c>
      <c r="F113" s="80" t="str">
        <f>IF(COUNTIF(Data!$D$2:$D$97,$C113)=0,"",VLOOKUP($C113,Data!$D$2:$H$97,F$8,FALSE))</f>
        <v/>
      </c>
      <c r="G113" s="80" t="str">
        <f>IF(COUNTIF(Data!$D$2:$D$97,$C113)=0,"",VLOOKUP($C113,Data!$D$2:$H$97,G$8,FALSE))</f>
        <v/>
      </c>
      <c r="H113" s="80" t="str">
        <f>IF(COUNTIF(Data!$D$2:$D$97,$C113)=0,"",VLOOKUP($C113,Data!$D$2:$H$97,H$8,FALSE))</f>
        <v/>
      </c>
      <c r="I113" s="80" t="str">
        <f>IF(COUNTIF(Data!$D$2:$D$97,$C113)=0,"",VLOOKUP($C113,Data!$D$2:$H$97,I$8,FALSE))</f>
        <v/>
      </c>
      <c r="J113" s="77" t="str">
        <f>IF(A113="","",VLOOKUP($B113,'Start List'!$B$15:$Y$139,J$8,FALSE))</f>
        <v/>
      </c>
      <c r="K113" s="77" t="str">
        <f>IF(B113="","",VLOOKUP($B113,'Start List'!$B$15:$Y$139,K$8,FALSE))</f>
        <v/>
      </c>
      <c r="L113" s="77" t="str">
        <f>IF(J113="","",VLOOKUP($B113,'Start List'!$B$15:$Y$139,L$8,FALSE))</f>
        <v/>
      </c>
      <c r="M113" s="79" t="str">
        <f>IF(K113="","",VLOOKUP($B113,'Start List'!$B$15:$Y$139,M$8,FALSE))</f>
        <v/>
      </c>
      <c r="N113" s="150" t="str">
        <f>IF($B113="","",VLOOKUP($B113,'Start List'!$B$15:$Y$139,N$8,FALSE))</f>
        <v/>
      </c>
      <c r="O113" s="80" t="str">
        <f>IF($B113="","",VLOOKUP($B113,'Start List'!$B$15:$Y$139,O$8,FALSE))</f>
        <v/>
      </c>
      <c r="P113" s="80" t="str">
        <f>IF($B113="","",VLOOKUP($B113,'Start List'!$B$15:$Y$139,P$8,FALSE))</f>
        <v/>
      </c>
      <c r="Q113" s="150" t="str">
        <f>IF($B113="","",VLOOKUP($B113,'Start List'!$B$15:$Y$139,Q$8,FALSE))</f>
        <v/>
      </c>
      <c r="R113" s="80" t="str">
        <f>IF($B113="","",VLOOKUP($B113,'Start List'!$B$15:$Y$139,R$8,FALSE))</f>
        <v/>
      </c>
      <c r="S113" s="150" t="str">
        <f>IF($B113="","",VLOOKUP($B113,'Start List'!$B$15:$Y$139,S$8,FALSE))</f>
        <v/>
      </c>
      <c r="T113" s="150" t="str">
        <f>IF($B113="","",VLOOKUP($B113,'Start List'!$B$15:$Y$139,T$8,FALSE))</f>
        <v/>
      </c>
      <c r="U113" s="80" t="str">
        <f>IF($B113="","",VLOOKUP($B113,'Start List'!$B$15:$Y$139,U$8,FALSE))</f>
        <v/>
      </c>
      <c r="V113" s="80" t="str">
        <f>IF($B113="","",VLOOKUP($B113,'Start List'!$B$15:$Y$139,V$8,FALSE))</f>
        <v/>
      </c>
      <c r="W113" s="150" t="str">
        <f>IF($B113="","",VLOOKUP($B113,'Start List'!$B$15:$Y$139,W$8,FALSE))</f>
        <v/>
      </c>
      <c r="X113" s="80" t="str">
        <f>IF($B113="","",VLOOKUP($B113,'Start List'!$B$15:$Y$139,X$8,FALSE))</f>
        <v/>
      </c>
      <c r="Y113" s="80" t="str">
        <f>IF($B113="","",VLOOKUP($B113,'Start List'!$B$15:$Y$139,Y$8,FALSE))</f>
        <v/>
      </c>
      <c r="Z113" s="217" t="str">
        <f>IF($B113="","",VLOOKUP($B113,'Start List'!$B$15:$Y$139,Z$8,FALSE))</f>
        <v/>
      </c>
      <c r="AA113" s="218" t="str">
        <f>IF($B113="","",VLOOKUP($B113,'Start List'!$B$15:$Y$139,AA$8,FALSE))</f>
        <v/>
      </c>
      <c r="AB113" s="218" t="str">
        <f>IF($B113="","",VLOOKUP($B113,'Start List'!$B$15:$Y$139,AB$8,FALSE))</f>
        <v/>
      </c>
    </row>
    <row r="114" spans="1:28" ht="12.75" x14ac:dyDescent="0.2">
      <c r="A114" s="75" t="str">
        <f>'Start List'!A120</f>
        <v/>
      </c>
      <c r="B114" s="76" t="str">
        <f>IF(A114="","",LARGE('Start List'!$B$15:$B$139,A114))</f>
        <v/>
      </c>
      <c r="C114" s="76" t="str">
        <f t="shared" si="3"/>
        <v/>
      </c>
      <c r="D114" s="76" t="str">
        <f t="shared" si="4"/>
        <v/>
      </c>
      <c r="E114" s="76" t="str">
        <f t="shared" si="5"/>
        <v/>
      </c>
      <c r="F114" s="80" t="str">
        <f>IF(COUNTIF(Data!$D$2:$D$97,$C114)=0,"",VLOOKUP($C114,Data!$D$2:$H$97,F$8,FALSE))</f>
        <v/>
      </c>
      <c r="G114" s="80" t="str">
        <f>IF(COUNTIF(Data!$D$2:$D$97,$C114)=0,"",VLOOKUP($C114,Data!$D$2:$H$97,G$8,FALSE))</f>
        <v/>
      </c>
      <c r="H114" s="80" t="str">
        <f>IF(COUNTIF(Data!$D$2:$D$97,$C114)=0,"",VLOOKUP($C114,Data!$D$2:$H$97,H$8,FALSE))</f>
        <v/>
      </c>
      <c r="I114" s="80" t="str">
        <f>IF(COUNTIF(Data!$D$2:$D$97,$C114)=0,"",VLOOKUP($C114,Data!$D$2:$H$97,I$8,FALSE))</f>
        <v/>
      </c>
      <c r="J114" s="77" t="str">
        <f>IF(A114="","",VLOOKUP($B114,'Start List'!$B$15:$Y$139,J$8,FALSE))</f>
        <v/>
      </c>
      <c r="K114" s="77" t="str">
        <f>IF(B114="","",VLOOKUP($B114,'Start List'!$B$15:$Y$139,K$8,FALSE))</f>
        <v/>
      </c>
      <c r="L114" s="77" t="str">
        <f>IF(J114="","",VLOOKUP($B114,'Start List'!$B$15:$Y$139,L$8,FALSE))</f>
        <v/>
      </c>
      <c r="M114" s="79" t="str">
        <f>IF(K114="","",VLOOKUP($B114,'Start List'!$B$15:$Y$139,M$8,FALSE))</f>
        <v/>
      </c>
      <c r="N114" s="150" t="str">
        <f>IF($B114="","",VLOOKUP($B114,'Start List'!$B$15:$Y$139,N$8,FALSE))</f>
        <v/>
      </c>
      <c r="O114" s="80" t="str">
        <f>IF($B114="","",VLOOKUP($B114,'Start List'!$B$15:$Y$139,O$8,FALSE))</f>
        <v/>
      </c>
      <c r="P114" s="80" t="str">
        <f>IF($B114="","",VLOOKUP($B114,'Start List'!$B$15:$Y$139,P$8,FALSE))</f>
        <v/>
      </c>
      <c r="Q114" s="150" t="str">
        <f>IF($B114="","",VLOOKUP($B114,'Start List'!$B$15:$Y$139,Q$8,FALSE))</f>
        <v/>
      </c>
      <c r="R114" s="80" t="str">
        <f>IF($B114="","",VLOOKUP($B114,'Start List'!$B$15:$Y$139,R$8,FALSE))</f>
        <v/>
      </c>
      <c r="S114" s="150" t="str">
        <f>IF($B114="","",VLOOKUP($B114,'Start List'!$B$15:$Y$139,S$8,FALSE))</f>
        <v/>
      </c>
      <c r="T114" s="150" t="str">
        <f>IF($B114="","",VLOOKUP($B114,'Start List'!$B$15:$Y$139,T$8,FALSE))</f>
        <v/>
      </c>
      <c r="U114" s="80" t="str">
        <f>IF($B114="","",VLOOKUP($B114,'Start List'!$B$15:$Y$139,U$8,FALSE))</f>
        <v/>
      </c>
      <c r="V114" s="80" t="str">
        <f>IF($B114="","",VLOOKUP($B114,'Start List'!$B$15:$Y$139,V$8,FALSE))</f>
        <v/>
      </c>
      <c r="W114" s="150" t="str">
        <f>IF($B114="","",VLOOKUP($B114,'Start List'!$B$15:$Y$139,W$8,FALSE))</f>
        <v/>
      </c>
      <c r="X114" s="80" t="str">
        <f>IF($B114="","",VLOOKUP($B114,'Start List'!$B$15:$Y$139,X$8,FALSE))</f>
        <v/>
      </c>
      <c r="Y114" s="80" t="str">
        <f>IF($B114="","",VLOOKUP($B114,'Start List'!$B$15:$Y$139,Y$8,FALSE))</f>
        <v/>
      </c>
      <c r="Z114" s="217" t="str">
        <f>IF($B114="","",VLOOKUP($B114,'Start List'!$B$15:$Y$139,Z$8,FALSE))</f>
        <v/>
      </c>
      <c r="AA114" s="218" t="str">
        <f>IF($B114="","",VLOOKUP($B114,'Start List'!$B$15:$Y$139,AA$8,FALSE))</f>
        <v/>
      </c>
      <c r="AB114" s="218" t="str">
        <f>IF($B114="","",VLOOKUP($B114,'Start List'!$B$15:$Y$139,AB$8,FALSE))</f>
        <v/>
      </c>
    </row>
    <row r="115" spans="1:28" ht="12.75" x14ac:dyDescent="0.2">
      <c r="A115" s="75"/>
      <c r="B115" s="76"/>
      <c r="C115" s="76"/>
      <c r="D115" s="76"/>
      <c r="E115" s="76"/>
      <c r="F115" s="76"/>
      <c r="G115" s="76"/>
      <c r="H115" s="76"/>
      <c r="I115" s="76"/>
      <c r="J115" s="77"/>
      <c r="K115" s="77"/>
      <c r="L115" s="77"/>
      <c r="M115" s="79"/>
      <c r="N115" s="150"/>
      <c r="O115" s="80"/>
      <c r="P115" s="80"/>
      <c r="Q115" s="150"/>
      <c r="R115" s="80"/>
      <c r="S115" s="150"/>
      <c r="T115" s="150"/>
      <c r="U115" s="80"/>
      <c r="V115" s="80"/>
      <c r="W115" s="150"/>
      <c r="X115" s="80"/>
      <c r="Y115" s="80"/>
      <c r="Z115" s="217"/>
      <c r="AA115" s="218"/>
      <c r="AB115" s="218"/>
    </row>
    <row r="116" spans="1:28" ht="12.75" x14ac:dyDescent="0.2">
      <c r="A116" s="75"/>
      <c r="B116" s="76"/>
      <c r="C116" s="76"/>
      <c r="D116" s="76"/>
      <c r="E116" s="76"/>
      <c r="F116" s="76"/>
      <c r="G116" s="76"/>
      <c r="H116" s="76"/>
      <c r="I116" s="76"/>
      <c r="J116" s="77"/>
      <c r="K116" s="77"/>
      <c r="L116" s="77"/>
      <c r="M116" s="79"/>
      <c r="N116" s="150"/>
      <c r="O116" s="80"/>
      <c r="P116" s="80"/>
      <c r="Q116" s="150"/>
      <c r="R116" s="80"/>
      <c r="S116" s="150"/>
      <c r="T116" s="150"/>
      <c r="U116" s="80"/>
      <c r="V116" s="80"/>
      <c r="W116" s="150"/>
      <c r="X116" s="80"/>
      <c r="Y116" s="80"/>
      <c r="Z116" s="217"/>
      <c r="AA116" s="218"/>
      <c r="AB116" s="218"/>
    </row>
    <row r="117" spans="1:28" ht="12.75" x14ac:dyDescent="0.2">
      <c r="A117" s="75"/>
      <c r="B117" s="76"/>
      <c r="C117" s="76"/>
      <c r="D117" s="76"/>
      <c r="E117" s="76"/>
      <c r="F117" s="76"/>
      <c r="G117" s="76"/>
      <c r="H117" s="76"/>
      <c r="I117" s="76"/>
      <c r="J117" s="77"/>
      <c r="K117" s="77"/>
      <c r="L117" s="77"/>
      <c r="M117" s="79"/>
      <c r="N117" s="150"/>
      <c r="O117" s="80"/>
      <c r="P117" s="80"/>
      <c r="Q117" s="150"/>
      <c r="R117" s="80"/>
      <c r="S117" s="150"/>
      <c r="T117" s="150"/>
      <c r="U117" s="80"/>
      <c r="V117" s="80"/>
      <c r="W117" s="150"/>
      <c r="X117" s="80"/>
      <c r="Y117" s="80"/>
      <c r="Z117" s="217"/>
      <c r="AA117" s="218"/>
      <c r="AB117" s="218"/>
    </row>
    <row r="118" spans="1:28" ht="12.75" x14ac:dyDescent="0.2">
      <c r="A118" s="75"/>
      <c r="B118" s="76"/>
      <c r="C118" s="76"/>
      <c r="D118" s="76"/>
      <c r="E118" s="76"/>
      <c r="F118" s="76"/>
      <c r="G118" s="76"/>
      <c r="H118" s="76"/>
      <c r="I118" s="76"/>
      <c r="J118" s="77"/>
      <c r="K118" s="77"/>
      <c r="L118" s="77"/>
      <c r="M118" s="79"/>
      <c r="N118" s="150"/>
      <c r="O118" s="80"/>
      <c r="P118" s="80"/>
      <c r="Q118" s="150"/>
      <c r="R118" s="80"/>
      <c r="S118" s="150"/>
      <c r="T118" s="150"/>
      <c r="U118" s="80"/>
      <c r="V118" s="80"/>
      <c r="W118" s="150"/>
      <c r="X118" s="80"/>
      <c r="Y118" s="80"/>
      <c r="Z118" s="217"/>
      <c r="AA118" s="218"/>
      <c r="AB118" s="218"/>
    </row>
    <row r="119" spans="1:28" ht="12.75" x14ac:dyDescent="0.2">
      <c r="A119" s="75"/>
      <c r="B119" s="76"/>
      <c r="C119" s="76"/>
      <c r="D119" s="76"/>
      <c r="E119" s="76"/>
      <c r="F119" s="76"/>
      <c r="G119" s="76"/>
      <c r="H119" s="76"/>
      <c r="I119" s="76"/>
      <c r="J119" s="77"/>
      <c r="K119" s="77"/>
      <c r="L119" s="77"/>
      <c r="M119" s="79"/>
      <c r="N119" s="150"/>
      <c r="O119" s="80"/>
      <c r="P119" s="80"/>
      <c r="Q119" s="150"/>
      <c r="R119" s="80"/>
      <c r="S119" s="150"/>
      <c r="T119" s="150"/>
      <c r="U119" s="80"/>
      <c r="V119" s="80"/>
      <c r="W119" s="150"/>
      <c r="X119" s="80"/>
      <c r="Y119" s="80"/>
      <c r="Z119" s="217"/>
      <c r="AA119" s="218"/>
      <c r="AB119" s="218"/>
    </row>
    <row r="120" spans="1:28" ht="12.75" x14ac:dyDescent="0.2">
      <c r="A120" s="75"/>
      <c r="B120" s="76"/>
      <c r="C120" s="76"/>
      <c r="D120" s="76"/>
      <c r="E120" s="76"/>
      <c r="F120" s="76"/>
      <c r="G120" s="76"/>
      <c r="H120" s="76"/>
      <c r="I120" s="76"/>
      <c r="J120" s="77"/>
      <c r="K120" s="77"/>
      <c r="L120" s="77"/>
      <c r="M120" s="79"/>
      <c r="N120" s="150"/>
      <c r="O120" s="80"/>
      <c r="P120" s="80"/>
      <c r="Q120" s="150"/>
      <c r="R120" s="80"/>
      <c r="S120" s="150"/>
      <c r="T120" s="150"/>
      <c r="U120" s="80"/>
      <c r="V120" s="80"/>
      <c r="W120" s="150"/>
      <c r="X120" s="80"/>
      <c r="Y120" s="80"/>
      <c r="Z120" s="217"/>
      <c r="AA120" s="218"/>
      <c r="AB120" s="218"/>
    </row>
    <row r="121" spans="1:28" ht="12.75" x14ac:dyDescent="0.2">
      <c r="A121" s="75"/>
      <c r="B121" s="76"/>
      <c r="C121" s="76"/>
      <c r="D121" s="76"/>
      <c r="E121" s="76"/>
      <c r="F121" s="76"/>
      <c r="G121" s="76"/>
      <c r="H121" s="76"/>
      <c r="I121" s="76"/>
      <c r="J121" s="77"/>
      <c r="K121" s="77"/>
      <c r="L121" s="77"/>
      <c r="M121" s="79"/>
      <c r="N121" s="150"/>
      <c r="O121" s="80"/>
      <c r="P121" s="80"/>
      <c r="Q121" s="150"/>
      <c r="R121" s="80"/>
      <c r="S121" s="150"/>
      <c r="T121" s="150"/>
      <c r="U121" s="80"/>
      <c r="V121" s="80"/>
      <c r="W121" s="150"/>
      <c r="X121" s="80"/>
      <c r="Y121" s="80"/>
      <c r="Z121" s="217"/>
      <c r="AA121" s="218"/>
      <c r="AB121" s="218"/>
    </row>
    <row r="122" spans="1:28" ht="12.75" x14ac:dyDescent="0.2">
      <c r="A122" s="75"/>
      <c r="B122" s="76"/>
      <c r="C122" s="76"/>
      <c r="D122" s="76"/>
      <c r="E122" s="76"/>
      <c r="F122" s="76"/>
      <c r="G122" s="76"/>
      <c r="H122" s="76"/>
      <c r="I122" s="76"/>
      <c r="J122" s="77"/>
      <c r="K122" s="77"/>
      <c r="L122" s="77"/>
      <c r="M122" s="79"/>
      <c r="N122" s="150"/>
      <c r="O122" s="80"/>
      <c r="P122" s="80"/>
      <c r="Q122" s="150"/>
      <c r="R122" s="80"/>
      <c r="S122" s="150"/>
      <c r="T122" s="150"/>
      <c r="U122" s="80"/>
      <c r="V122" s="80"/>
      <c r="W122" s="150"/>
      <c r="X122" s="80"/>
      <c r="Y122" s="80"/>
      <c r="Z122" s="217"/>
      <c r="AA122" s="218"/>
      <c r="AB122" s="218"/>
    </row>
    <row r="123" spans="1:28" ht="12.75" x14ac:dyDescent="0.2">
      <c r="A123" s="75"/>
      <c r="B123" s="76"/>
      <c r="C123" s="76"/>
      <c r="D123" s="76"/>
      <c r="E123" s="76"/>
      <c r="F123" s="76"/>
      <c r="G123" s="76"/>
      <c r="H123" s="76"/>
      <c r="I123" s="76"/>
      <c r="J123" s="77"/>
      <c r="K123" s="77"/>
      <c r="L123" s="77"/>
      <c r="M123" s="79"/>
      <c r="N123" s="150"/>
      <c r="O123" s="80"/>
      <c r="P123" s="80"/>
      <c r="Q123" s="150"/>
      <c r="R123" s="80"/>
      <c r="S123" s="150"/>
      <c r="T123" s="150"/>
      <c r="U123" s="80"/>
      <c r="V123" s="80"/>
      <c r="W123" s="150"/>
      <c r="X123" s="80"/>
      <c r="Y123" s="80"/>
      <c r="Z123" s="217"/>
      <c r="AA123" s="218"/>
      <c r="AB123" s="218"/>
    </row>
    <row r="124" spans="1:28" ht="12.75" x14ac:dyDescent="0.2">
      <c r="A124" s="75"/>
      <c r="B124" s="76"/>
      <c r="C124" s="76"/>
      <c r="D124" s="76"/>
      <c r="E124" s="76"/>
      <c r="F124" s="76"/>
      <c r="G124" s="76"/>
      <c r="H124" s="76"/>
      <c r="I124" s="76"/>
      <c r="J124" s="77"/>
      <c r="K124" s="77"/>
      <c r="L124" s="77"/>
      <c r="M124" s="79"/>
      <c r="N124" s="150"/>
      <c r="O124" s="80"/>
      <c r="P124" s="80"/>
      <c r="Q124" s="150"/>
      <c r="R124" s="80"/>
      <c r="S124" s="150"/>
      <c r="T124" s="150"/>
      <c r="U124" s="80"/>
      <c r="V124" s="80"/>
      <c r="W124" s="150"/>
      <c r="X124" s="80"/>
      <c r="Y124" s="80"/>
      <c r="Z124" s="217"/>
      <c r="AA124" s="218"/>
      <c r="AB124" s="218"/>
    </row>
    <row r="125" spans="1:28" ht="12.75" x14ac:dyDescent="0.2">
      <c r="A125" s="75"/>
      <c r="B125" s="76"/>
      <c r="C125" s="76"/>
      <c r="D125" s="76"/>
      <c r="E125" s="76"/>
      <c r="F125" s="76"/>
      <c r="G125" s="76"/>
      <c r="H125" s="76"/>
      <c r="I125" s="76"/>
      <c r="J125" s="77"/>
      <c r="K125" s="77"/>
      <c r="L125" s="77"/>
      <c r="M125" s="79"/>
      <c r="N125" s="150"/>
      <c r="O125" s="80"/>
      <c r="P125" s="80"/>
      <c r="Q125" s="150"/>
      <c r="R125" s="80"/>
      <c r="S125" s="150"/>
      <c r="T125" s="150"/>
      <c r="U125" s="80"/>
      <c r="V125" s="80"/>
      <c r="W125" s="150"/>
      <c r="X125" s="80"/>
      <c r="Y125" s="80"/>
      <c r="Z125" s="217"/>
      <c r="AA125" s="218"/>
      <c r="AB125" s="218"/>
    </row>
    <row r="126" spans="1:28" ht="12.75" x14ac:dyDescent="0.2">
      <c r="A126" s="75"/>
      <c r="B126" s="76"/>
      <c r="C126" s="76"/>
      <c r="D126" s="76"/>
      <c r="E126" s="76"/>
      <c r="F126" s="76"/>
      <c r="G126" s="76"/>
      <c r="H126" s="76"/>
      <c r="I126" s="76"/>
      <c r="J126" s="77"/>
      <c r="K126" s="77"/>
      <c r="L126" s="77"/>
      <c r="M126" s="79"/>
      <c r="N126" s="150"/>
      <c r="O126" s="80"/>
      <c r="P126" s="80"/>
      <c r="Q126" s="150"/>
      <c r="R126" s="80"/>
      <c r="S126" s="150"/>
      <c r="T126" s="150"/>
      <c r="U126" s="80"/>
      <c r="V126" s="80"/>
      <c r="W126" s="150"/>
      <c r="X126" s="80"/>
      <c r="Y126" s="80"/>
      <c r="Z126" s="217"/>
      <c r="AA126" s="218"/>
      <c r="AB126" s="218"/>
    </row>
    <row r="127" spans="1:28" ht="12.75" x14ac:dyDescent="0.2">
      <c r="A127" s="75"/>
      <c r="B127" s="76"/>
      <c r="C127" s="76"/>
      <c r="D127" s="76"/>
      <c r="E127" s="76"/>
      <c r="F127" s="76"/>
      <c r="G127" s="76"/>
      <c r="H127" s="76"/>
      <c r="I127" s="76"/>
      <c r="J127" s="77"/>
      <c r="K127" s="77"/>
      <c r="L127" s="77"/>
      <c r="M127" s="79"/>
      <c r="N127" s="150"/>
      <c r="O127" s="80"/>
      <c r="P127" s="80"/>
      <c r="Q127" s="150"/>
      <c r="R127" s="80"/>
      <c r="S127" s="150"/>
      <c r="T127" s="150"/>
      <c r="U127" s="80"/>
      <c r="V127" s="80"/>
      <c r="W127" s="150"/>
      <c r="X127" s="80"/>
      <c r="Y127" s="80"/>
      <c r="Z127" s="217"/>
      <c r="AA127" s="218"/>
      <c r="AB127" s="218"/>
    </row>
    <row r="128" spans="1:28" ht="12.75" x14ac:dyDescent="0.2">
      <c r="A128" s="75"/>
      <c r="B128" s="76"/>
      <c r="C128" s="76"/>
      <c r="D128" s="76"/>
      <c r="E128" s="76"/>
      <c r="F128" s="76"/>
      <c r="G128" s="76"/>
      <c r="H128" s="76"/>
      <c r="I128" s="76"/>
      <c r="J128" s="77"/>
      <c r="K128" s="77"/>
      <c r="L128" s="77"/>
      <c r="M128" s="79"/>
      <c r="N128" s="150"/>
      <c r="O128" s="80"/>
      <c r="P128" s="80"/>
      <c r="Q128" s="150"/>
      <c r="R128" s="80"/>
      <c r="S128" s="150"/>
      <c r="T128" s="150"/>
      <c r="U128" s="80"/>
      <c r="V128" s="80"/>
      <c r="W128" s="150"/>
      <c r="X128" s="80"/>
      <c r="Y128" s="80"/>
      <c r="Z128" s="217"/>
      <c r="AA128" s="218"/>
      <c r="AB128" s="218"/>
    </row>
    <row r="129" spans="1:28" ht="12.75" x14ac:dyDescent="0.2">
      <c r="A129" s="75"/>
      <c r="B129" s="76"/>
      <c r="C129" s="76"/>
      <c r="D129" s="76"/>
      <c r="E129" s="76"/>
      <c r="F129" s="76"/>
      <c r="G129" s="76"/>
      <c r="H129" s="76"/>
      <c r="I129" s="76"/>
      <c r="J129" s="77"/>
      <c r="K129" s="77"/>
      <c r="L129" s="77"/>
      <c r="M129" s="79"/>
      <c r="N129" s="150"/>
      <c r="O129" s="80"/>
      <c r="P129" s="80"/>
      <c r="Q129" s="150"/>
      <c r="R129" s="80"/>
      <c r="S129" s="150"/>
      <c r="T129" s="150"/>
      <c r="U129" s="80"/>
      <c r="V129" s="80"/>
      <c r="W129" s="150"/>
      <c r="X129" s="80"/>
      <c r="Y129" s="80"/>
      <c r="Z129" s="217"/>
      <c r="AA129" s="218"/>
      <c r="AB129" s="218"/>
    </row>
    <row r="130" spans="1:28" ht="12.75" x14ac:dyDescent="0.2">
      <c r="A130" s="75"/>
      <c r="B130" s="76"/>
      <c r="C130" s="76"/>
      <c r="D130" s="76"/>
      <c r="E130" s="76"/>
      <c r="F130" s="76"/>
      <c r="G130" s="76"/>
      <c r="H130" s="76"/>
      <c r="I130" s="76"/>
      <c r="J130" s="77"/>
      <c r="K130" s="77"/>
      <c r="L130" s="77"/>
      <c r="M130" s="79"/>
      <c r="N130" s="150"/>
      <c r="O130" s="80"/>
      <c r="P130" s="80"/>
      <c r="Q130" s="150"/>
      <c r="R130" s="80"/>
      <c r="S130" s="150"/>
      <c r="T130" s="150"/>
      <c r="U130" s="80"/>
      <c r="V130" s="80"/>
      <c r="W130" s="150"/>
      <c r="X130" s="80"/>
      <c r="Y130" s="80"/>
      <c r="Z130" s="217"/>
      <c r="AA130" s="218"/>
      <c r="AB130" s="218"/>
    </row>
    <row r="131" spans="1:28" ht="12.75" x14ac:dyDescent="0.2">
      <c r="A131" s="75"/>
      <c r="B131" s="76"/>
      <c r="C131" s="76"/>
      <c r="D131" s="76"/>
      <c r="E131" s="76"/>
      <c r="F131" s="76"/>
      <c r="G131" s="76"/>
      <c r="H131" s="76"/>
      <c r="I131" s="76"/>
      <c r="J131" s="77"/>
      <c r="K131" s="77"/>
      <c r="L131" s="77"/>
      <c r="M131" s="79"/>
      <c r="N131" s="150"/>
      <c r="O131" s="80"/>
      <c r="P131" s="80"/>
      <c r="Q131" s="150"/>
      <c r="R131" s="80"/>
      <c r="S131" s="150"/>
      <c r="T131" s="150"/>
      <c r="U131" s="80"/>
      <c r="V131" s="80"/>
      <c r="W131" s="150"/>
      <c r="X131" s="80"/>
      <c r="Y131" s="80"/>
      <c r="Z131" s="217"/>
      <c r="AA131" s="218"/>
      <c r="AB131" s="218"/>
    </row>
    <row r="132" spans="1:28" ht="12.75" x14ac:dyDescent="0.2">
      <c r="A132" s="75"/>
      <c r="B132" s="76"/>
      <c r="C132" s="76"/>
      <c r="D132" s="76"/>
      <c r="E132" s="76"/>
      <c r="F132" s="76"/>
      <c r="G132" s="76"/>
      <c r="H132" s="76"/>
      <c r="I132" s="76"/>
      <c r="J132" s="77"/>
      <c r="K132" s="77"/>
      <c r="L132" s="77"/>
      <c r="M132" s="79"/>
      <c r="N132" s="150"/>
      <c r="O132" s="80"/>
      <c r="P132" s="80"/>
      <c r="Q132" s="150"/>
      <c r="R132" s="80"/>
      <c r="S132" s="150"/>
      <c r="T132" s="150"/>
      <c r="U132" s="80"/>
      <c r="V132" s="80"/>
      <c r="W132" s="150"/>
      <c r="X132" s="80"/>
      <c r="Y132" s="80"/>
      <c r="Z132" s="217"/>
      <c r="AA132" s="218"/>
      <c r="AB132" s="218"/>
    </row>
    <row r="133" spans="1:28" ht="12.75" x14ac:dyDescent="0.2">
      <c r="A133" s="75"/>
      <c r="B133" s="76"/>
      <c r="C133" s="76"/>
      <c r="D133" s="76"/>
      <c r="E133" s="76"/>
      <c r="F133" s="76"/>
      <c r="G133" s="76"/>
      <c r="H133" s="76"/>
      <c r="I133" s="76"/>
      <c r="J133" s="77"/>
      <c r="K133" s="77"/>
      <c r="L133" s="77"/>
      <c r="M133" s="79"/>
      <c r="N133" s="150"/>
      <c r="O133" s="80"/>
      <c r="P133" s="80"/>
      <c r="Q133" s="150"/>
      <c r="R133" s="80"/>
      <c r="S133" s="150"/>
      <c r="T133" s="150"/>
      <c r="U133" s="80"/>
      <c r="V133" s="80"/>
      <c r="W133" s="150"/>
      <c r="X133" s="80"/>
      <c r="Y133" s="80"/>
      <c r="Z133" s="217"/>
      <c r="AA133" s="218"/>
      <c r="AB133" s="218"/>
    </row>
    <row r="134" spans="1:28" ht="12.75" x14ac:dyDescent="0.2">
      <c r="A134" s="75"/>
      <c r="B134" s="76"/>
      <c r="C134" s="76"/>
      <c r="D134" s="76"/>
      <c r="E134" s="76"/>
      <c r="F134" s="76"/>
      <c r="G134" s="76"/>
      <c r="H134" s="76"/>
      <c r="I134" s="76"/>
      <c r="J134" s="77"/>
      <c r="K134" s="77"/>
      <c r="L134" s="77"/>
      <c r="M134" s="79"/>
      <c r="N134" s="150"/>
      <c r="O134" s="80"/>
      <c r="P134" s="80"/>
      <c r="Q134" s="150"/>
      <c r="R134" s="80"/>
      <c r="S134" s="150"/>
      <c r="T134" s="150"/>
      <c r="U134" s="80"/>
      <c r="V134" s="80"/>
      <c r="W134" s="150"/>
      <c r="X134" s="80"/>
      <c r="Y134" s="80"/>
      <c r="Z134" s="217"/>
      <c r="AA134" s="218"/>
      <c r="AB134" s="218"/>
    </row>
    <row r="135" spans="1:28" ht="12.75" x14ac:dyDescent="0.2">
      <c r="A135" s="75"/>
      <c r="B135" s="76"/>
      <c r="C135" s="76"/>
      <c r="D135" s="76"/>
      <c r="E135" s="76"/>
      <c r="F135" s="76"/>
      <c r="G135" s="76"/>
      <c r="H135" s="76"/>
      <c r="I135" s="76"/>
      <c r="J135" s="77"/>
      <c r="K135" s="77"/>
      <c r="L135" s="77"/>
      <c r="M135" s="79"/>
      <c r="N135" s="150"/>
      <c r="O135" s="80"/>
      <c r="P135" s="80"/>
      <c r="Q135" s="150"/>
      <c r="R135" s="80"/>
      <c r="S135" s="150"/>
      <c r="T135" s="150"/>
      <c r="U135" s="80"/>
      <c r="V135" s="80"/>
      <c r="W135" s="150"/>
      <c r="X135" s="80"/>
      <c r="Y135" s="80"/>
      <c r="Z135" s="217"/>
      <c r="AA135" s="218"/>
      <c r="AB135" s="218"/>
    </row>
    <row r="136" spans="1:28" ht="12.75" x14ac:dyDescent="0.2">
      <c r="A136" s="75"/>
      <c r="B136" s="76"/>
      <c r="C136" s="76"/>
      <c r="D136" s="76"/>
      <c r="E136" s="76"/>
      <c r="F136" s="76"/>
      <c r="G136" s="76"/>
      <c r="H136" s="76"/>
      <c r="I136" s="76"/>
      <c r="J136" s="77"/>
      <c r="K136" s="77"/>
      <c r="L136" s="77"/>
      <c r="M136" s="79"/>
      <c r="N136" s="150"/>
      <c r="O136" s="80"/>
      <c r="P136" s="80"/>
      <c r="Q136" s="150"/>
      <c r="R136" s="80"/>
      <c r="S136" s="150"/>
      <c r="T136" s="150"/>
      <c r="U136" s="80"/>
      <c r="V136" s="80"/>
      <c r="W136" s="150"/>
      <c r="X136" s="80"/>
      <c r="Y136" s="80"/>
      <c r="Z136" s="217"/>
      <c r="AA136" s="218"/>
      <c r="AB136" s="218"/>
    </row>
    <row r="137" spans="1:28" ht="12.75" x14ac:dyDescent="0.2">
      <c r="A137" s="75"/>
      <c r="B137" s="76"/>
      <c r="C137" s="76"/>
      <c r="D137" s="76"/>
      <c r="E137" s="76"/>
      <c r="F137" s="76"/>
      <c r="G137" s="76"/>
      <c r="H137" s="76"/>
      <c r="I137" s="76"/>
      <c r="J137" s="77"/>
      <c r="K137" s="77"/>
      <c r="L137" s="77"/>
      <c r="M137" s="79"/>
      <c r="N137" s="150"/>
      <c r="O137" s="80"/>
      <c r="P137" s="80"/>
      <c r="Q137" s="150"/>
      <c r="R137" s="80"/>
      <c r="S137" s="150"/>
      <c r="T137" s="150"/>
      <c r="U137" s="80"/>
      <c r="V137" s="80"/>
      <c r="W137" s="150"/>
      <c r="X137" s="80"/>
      <c r="Y137" s="80"/>
      <c r="Z137" s="217"/>
      <c r="AA137" s="218"/>
      <c r="AB137" s="218"/>
    </row>
    <row r="138" spans="1:28" ht="12.75" x14ac:dyDescent="0.2">
      <c r="A138" s="75"/>
      <c r="B138" s="76"/>
      <c r="C138" s="76"/>
      <c r="D138" s="76"/>
      <c r="E138" s="76"/>
      <c r="F138" s="76"/>
      <c r="G138" s="76"/>
      <c r="H138" s="76"/>
      <c r="I138" s="76"/>
      <c r="J138" s="77"/>
      <c r="K138" s="77"/>
      <c r="L138" s="77"/>
      <c r="M138" s="79"/>
      <c r="N138" s="150"/>
      <c r="O138" s="80"/>
      <c r="P138" s="80"/>
      <c r="Q138" s="150"/>
      <c r="R138" s="80"/>
      <c r="S138" s="150"/>
      <c r="T138" s="150"/>
      <c r="U138" s="80"/>
      <c r="V138" s="80"/>
      <c r="W138" s="150"/>
      <c r="X138" s="80"/>
      <c r="Y138" s="80"/>
      <c r="Z138" s="217"/>
      <c r="AA138" s="218"/>
      <c r="AB138" s="218"/>
    </row>
  </sheetData>
  <sheetProtection password="D7C9" sheet="1" objects="1" scenarios="1"/>
  <mergeCells count="24">
    <mergeCell ref="T6:T7"/>
    <mergeCell ref="A1:AB1"/>
    <mergeCell ref="A2:AB2"/>
    <mergeCell ref="A3:AB3"/>
    <mergeCell ref="A4:AB4"/>
    <mergeCell ref="A6:A7"/>
    <mergeCell ref="J6:J7"/>
    <mergeCell ref="K6:K7"/>
    <mergeCell ref="L6:L7"/>
    <mergeCell ref="M6:M7"/>
    <mergeCell ref="N6:N7"/>
    <mergeCell ref="O6:O7"/>
    <mergeCell ref="P6:P7"/>
    <mergeCell ref="Q6:Q7"/>
    <mergeCell ref="R6:R7"/>
    <mergeCell ref="S6:S7"/>
    <mergeCell ref="AA6:AA7"/>
    <mergeCell ref="AB6:AB7"/>
    <mergeCell ref="U6:U7"/>
    <mergeCell ref="V6:V7"/>
    <mergeCell ref="W6:W7"/>
    <mergeCell ref="X6:X7"/>
    <mergeCell ref="Y6:Y7"/>
    <mergeCell ref="Z6:Z7"/>
  </mergeCells>
  <conditionalFormatting sqref="W9:W138">
    <cfRule type="expression" dxfId="536" priority="13">
      <formula>OR($N$6="Σ")</formula>
    </cfRule>
  </conditionalFormatting>
  <conditionalFormatting sqref="N9:AB138">
    <cfRule type="expression" dxfId="535" priority="7">
      <formula>OR(N$6="IR300",N$6="65m",N$6="50m",N$6="35m")</formula>
    </cfRule>
    <cfRule type="expression" dxfId="534" priority="25">
      <formula>OR(N$6="R10",N$6=10,N$6="Notes")</formula>
    </cfRule>
  </conditionalFormatting>
  <conditionalFormatting sqref="A115:AB138 J9:AB114 A9:E114">
    <cfRule type="expression" dxfId="533" priority="6">
      <formula>OR($J9="")</formula>
    </cfRule>
  </conditionalFormatting>
  <conditionalFormatting sqref="A1:XFD8 A115:XFD1048576 J9:XFD114 A9:E114">
    <cfRule type="expression" dxfId="532" priority="4">
      <formula>OR($B$6&lt;=$B$7)</formula>
    </cfRule>
  </conditionalFormatting>
  <conditionalFormatting sqref="F9:I114">
    <cfRule type="expression" dxfId="531" priority="2">
      <formula>OR($K9="")</formula>
    </cfRule>
    <cfRule type="expression" dxfId="530" priority="3">
      <formula>OR($K9="Men",$K9="Women",$K9="Juniors",$K9="Cadets  ",$K9="Senior Men",$K9="Senior Women",$K9="Muški",$K9="Žene     ",$K9="Juniori   ",$K9="Kadeti     ",$K9="Seniori     ",$K9="Seniorke     ",$K9="Seniors  ",$K9="Muži",$K9="Ženy ",$K9="Junioři",$K9="Kadeti  ",$K9="Senioři  ",$K9="Seniořky  ",$K9="Herren",$K9="Dammen ",$K9="Junioren",$K9="Kadetten ",$K9="Senioren Herren",$K9="Senioren Dammen ",$K9="Senioren  ")</formula>
    </cfRule>
  </conditionalFormatting>
  <printOptions horizontalCentered="1"/>
  <pageMargins left="0.39370078740157483" right="0.39370078740157483" top="0.59055118110236227" bottom="0.59055118110236227" header="0" footer="0"/>
  <pageSetup paperSize="9" scale="6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86"/>
  <sheetViews>
    <sheetView showGridLines="0" showRowColHeaders="0" workbookViewId="0">
      <selection sqref="A1:I44"/>
    </sheetView>
  </sheetViews>
  <sheetFormatPr defaultColWidth="9.140625" defaultRowHeight="12" x14ac:dyDescent="0.2"/>
  <cols>
    <col min="1" max="1" width="5.140625" style="184" bestFit="1" customWidth="1"/>
    <col min="2" max="2" width="19.85546875" style="185" customWidth="1"/>
    <col min="3" max="3" width="23.28515625" style="184" bestFit="1" customWidth="1"/>
    <col min="4" max="4" width="5" style="192" customWidth="1"/>
    <col min="5" max="6" width="5.5703125" style="184" customWidth="1"/>
    <col min="7" max="7" width="5.5703125" style="184" bestFit="1" customWidth="1"/>
    <col min="8" max="8" width="5.5703125" style="188" bestFit="1" customWidth="1"/>
    <col min="9" max="9" width="5.5703125" style="189" customWidth="1"/>
    <col min="10" max="16384" width="9.140625" style="184"/>
  </cols>
  <sheetData>
    <row r="1" spans="1:11" s="174" customFormat="1" ht="15.75" customHeight="1" x14ac:dyDescent="0.25">
      <c r="A1" s="248" t="str">
        <f>Settings!C5</f>
        <v>22. BOHEMIA CUP - CROSSBOW FIELD</v>
      </c>
      <c r="B1" s="248"/>
      <c r="C1" s="248"/>
      <c r="D1" s="248"/>
      <c r="E1" s="248"/>
      <c r="F1" s="248"/>
      <c r="G1" s="248"/>
      <c r="H1" s="248"/>
      <c r="I1" s="248"/>
      <c r="K1" s="175"/>
    </row>
    <row r="2" spans="1:11" s="174" customFormat="1" ht="15.75" customHeight="1" x14ac:dyDescent="0.25">
      <c r="A2" s="248" t="str">
        <f>Settings!C7</f>
        <v>Nový Stadion, TJ Jiskra</v>
      </c>
      <c r="B2" s="248"/>
      <c r="C2" s="248"/>
      <c r="D2" s="248"/>
      <c r="E2" s="248"/>
      <c r="F2" s="248"/>
      <c r="G2" s="248"/>
      <c r="H2" s="248"/>
      <c r="I2" s="248"/>
      <c r="K2" s="175"/>
    </row>
    <row r="3" spans="1:11" s="174" customFormat="1" ht="15.75" customHeight="1" x14ac:dyDescent="0.25">
      <c r="A3" s="248" t="str">
        <f>Settings!C8</f>
        <v>14.-16. August 2020</v>
      </c>
      <c r="B3" s="248"/>
      <c r="C3" s="248"/>
      <c r="D3" s="248"/>
      <c r="E3" s="248"/>
      <c r="F3" s="248"/>
      <c r="G3" s="248"/>
      <c r="H3" s="248"/>
      <c r="I3" s="248"/>
      <c r="K3" s="175"/>
    </row>
    <row r="4" spans="1:11" s="174" customFormat="1" ht="15.75" customHeight="1" x14ac:dyDescent="0.25">
      <c r="A4" s="248" t="str">
        <f>VLOOKUP(C5,Translation!$A$2:$E$57,Data!$AP$2,FALSE)</f>
        <v>Teams</v>
      </c>
      <c r="B4" s="248"/>
      <c r="C4" s="248"/>
      <c r="D4" s="248"/>
      <c r="E4" s="248"/>
      <c r="F4" s="248"/>
      <c r="G4" s="248"/>
      <c r="H4" s="248"/>
      <c r="I4" s="248"/>
      <c r="K4" s="175"/>
    </row>
    <row r="5" spans="1:11" s="182" customFormat="1" ht="7.5" customHeight="1" x14ac:dyDescent="0.2">
      <c r="A5" s="176"/>
      <c r="B5" s="177" t="s">
        <v>725</v>
      </c>
      <c r="C5" s="178" t="s">
        <v>731</v>
      </c>
      <c r="D5" s="179"/>
      <c r="E5" s="180">
        <v>2</v>
      </c>
      <c r="F5" s="180">
        <v>3</v>
      </c>
      <c r="G5" s="180">
        <v>4</v>
      </c>
      <c r="H5" s="181">
        <v>5</v>
      </c>
      <c r="I5" s="180">
        <v>6</v>
      </c>
      <c r="K5" s="183"/>
    </row>
    <row r="6" spans="1:11" s="182" customFormat="1" ht="18" customHeight="1" x14ac:dyDescent="0.2">
      <c r="A6" s="247" t="str">
        <f>Absolute!A6</f>
        <v>Rank</v>
      </c>
      <c r="B6" s="249" t="str">
        <f>VLOOKUP(B5,Translation!$A$2:$E$57,Data!$AP$2,FALSE)</f>
        <v>Team</v>
      </c>
      <c r="C6" s="251" t="str">
        <f>'Start List'!$D$6:$D$7</f>
        <v>Competitor</v>
      </c>
      <c r="D6" s="252" t="str">
        <f>'Start List'!$F$6:$F$7</f>
        <v>Cat.</v>
      </c>
      <c r="E6" s="247" t="str">
        <f>VLOOKUP(Settings!$C$3,Data!$AI$44:$AN$45,E5,FALSE)</f>
        <v>65m</v>
      </c>
      <c r="F6" s="247" t="str">
        <f>VLOOKUP(Settings!$C$3,Data!$AI$44:$AN$45,F5,FALSE)</f>
        <v>50m</v>
      </c>
      <c r="G6" s="247" t="str">
        <f>VLOOKUP(Settings!$C$3,Data!$AI$44:$AN$45,G5,FALSE)</f>
        <v>35m</v>
      </c>
      <c r="H6" s="247" t="str">
        <f>VLOOKUP(Settings!$C$3,Data!$AI$44:$AN$45,H5,FALSE)</f>
        <v>IR900</v>
      </c>
      <c r="I6" s="247" t="str">
        <f>VLOOKUP(Settings!$C$3,Data!$AI$44:$AN$45,I5,FALSE)</f>
        <v>Σ</v>
      </c>
      <c r="K6" s="183"/>
    </row>
    <row r="7" spans="1:11" s="182" customFormat="1" ht="6" customHeight="1" x14ac:dyDescent="0.2">
      <c r="A7" s="247"/>
      <c r="B7" s="250"/>
      <c r="C7" s="251"/>
      <c r="D7" s="252"/>
      <c r="E7" s="247"/>
      <c r="F7" s="247"/>
      <c r="G7" s="247"/>
      <c r="H7" s="247"/>
      <c r="I7" s="247"/>
      <c r="K7" s="183"/>
    </row>
    <row r="8" spans="1:11" x14ac:dyDescent="0.2">
      <c r="D8" s="186">
        <v>3</v>
      </c>
      <c r="E8" s="187">
        <v>8</v>
      </c>
      <c r="F8" s="187">
        <f>IF(F6="50m",12,13)</f>
        <v>12</v>
      </c>
      <c r="G8" s="187">
        <f>IF(G6="35m",16,19)</f>
        <v>16</v>
      </c>
    </row>
    <row r="9" spans="1:11" s="164" customFormat="1" x14ac:dyDescent="0.2">
      <c r="A9" s="190">
        <v>1</v>
      </c>
      <c r="B9" s="161" t="s">
        <v>1179</v>
      </c>
      <c r="D9" s="165"/>
      <c r="E9" s="166"/>
      <c r="F9" s="166"/>
      <c r="G9" s="166"/>
      <c r="H9" s="167"/>
      <c r="I9" s="168">
        <f>IF(AND(H10="",H11="",H12=""),"",SUM(H10:H12))</f>
        <v>2573</v>
      </c>
    </row>
    <row r="10" spans="1:11" s="164" customFormat="1" x14ac:dyDescent="0.2">
      <c r="A10" s="191"/>
      <c r="B10" s="169" t="str">
        <f>B9</f>
        <v>CROATIA 1</v>
      </c>
      <c r="C10" s="162" t="s">
        <v>1139</v>
      </c>
      <c r="D10" s="170" t="str">
        <f>VLOOKUP($C10,'Start List'!$D$15:$Y$139,D$8,FALSE)</f>
        <v>M</v>
      </c>
      <c r="E10" s="171">
        <f>IF($E$6="","",VLOOKUP($C10,'Start List'!$D$15:$Y$139,E$8,FALSE))</f>
        <v>280</v>
      </c>
      <c r="F10" s="171">
        <f>VLOOKUP($C10,'Start List'!$D$15:$Y$139,F$8,FALSE)</f>
        <v>293</v>
      </c>
      <c r="G10" s="171">
        <f>VLOOKUP($C10,'Start List'!$D$15:$Y$139,G$8,FALSE)</f>
        <v>292</v>
      </c>
      <c r="H10" s="167">
        <f>SUM(E10:G10)</f>
        <v>865</v>
      </c>
      <c r="I10" s="172">
        <f>IF(AND(H10="",H11="",H12=""),"",SUM(H10:H12))</f>
        <v>2573</v>
      </c>
    </row>
    <row r="11" spans="1:11" s="164" customFormat="1" x14ac:dyDescent="0.2">
      <c r="A11" s="191"/>
      <c r="B11" s="169" t="str">
        <f>B9</f>
        <v>CROATIA 1</v>
      </c>
      <c r="C11" s="162" t="s">
        <v>1178</v>
      </c>
      <c r="D11" s="170" t="str">
        <f>VLOOKUP($C11,'Start List'!$D$15:$Y$139,D$8,FALSE)</f>
        <v>W</v>
      </c>
      <c r="E11" s="171">
        <f>IF($E$6="","",VLOOKUP($C11,'Start List'!$D$15:$Y$139,E$8,FALSE))</f>
        <v>276</v>
      </c>
      <c r="F11" s="171">
        <f>VLOOKUP($C11,'Start List'!$D$15:$Y$139,F$8,FALSE)</f>
        <v>293</v>
      </c>
      <c r="G11" s="171">
        <f>VLOOKUP($C11,'Start List'!$D$15:$Y$139,G$8,FALSE)</f>
        <v>294</v>
      </c>
      <c r="H11" s="167">
        <f>SUM(E11:G11)</f>
        <v>863</v>
      </c>
      <c r="I11" s="172">
        <f>IF(AND(H10="",H11="",H12=""),"",SUM(H10:H12))</f>
        <v>2573</v>
      </c>
    </row>
    <row r="12" spans="1:11" s="164" customFormat="1" x14ac:dyDescent="0.2">
      <c r="A12" s="191"/>
      <c r="B12" s="169" t="str">
        <f>B9</f>
        <v>CROATIA 1</v>
      </c>
      <c r="C12" s="162" t="s">
        <v>1152</v>
      </c>
      <c r="D12" s="170" t="str">
        <f>VLOOKUP($C12,'Start List'!$D$15:$Y$139,D$8,FALSE)</f>
        <v>J</v>
      </c>
      <c r="E12" s="171">
        <f>IF($E$6="","",VLOOKUP($C12,'Start List'!$D$15:$Y$139,E$8,FALSE))</f>
        <v>267</v>
      </c>
      <c r="F12" s="171">
        <f>VLOOKUP($C12,'Start List'!$D$15:$Y$139,F$8,FALSE)</f>
        <v>292</v>
      </c>
      <c r="G12" s="171">
        <f>VLOOKUP($C12,'Start List'!$D$15:$Y$139,G$8,FALSE)</f>
        <v>286</v>
      </c>
      <c r="H12" s="167">
        <f>SUM(E12:G12)</f>
        <v>845</v>
      </c>
      <c r="I12" s="172">
        <f>IF(AND(H10="",H11="",H12=""),"",SUM(H10:H12))</f>
        <v>2573</v>
      </c>
    </row>
    <row r="13" spans="1:11" s="164" customFormat="1" x14ac:dyDescent="0.2">
      <c r="A13" s="191"/>
      <c r="B13" s="169" t="str">
        <f>B9</f>
        <v>CROATIA 1</v>
      </c>
      <c r="D13" s="165"/>
      <c r="E13" s="173">
        <f>IF($E$6="","",SUM(E10:E12))</f>
        <v>823</v>
      </c>
      <c r="F13" s="173">
        <f>SUM(F10:F12)</f>
        <v>878</v>
      </c>
      <c r="G13" s="173">
        <f>SUM(G10:G12)</f>
        <v>872</v>
      </c>
      <c r="H13" s="167"/>
      <c r="I13" s="172">
        <f>IF(AND(H10="",H11="",H12=""),"",SUM(H10:H12))</f>
        <v>2573</v>
      </c>
    </row>
    <row r="14" spans="1:11" s="164" customFormat="1" x14ac:dyDescent="0.2">
      <c r="A14" s="190">
        <v>2</v>
      </c>
      <c r="B14" s="161" t="s">
        <v>1180</v>
      </c>
      <c r="D14" s="165"/>
      <c r="E14" s="166"/>
      <c r="F14" s="166"/>
      <c r="G14" s="166"/>
      <c r="H14" s="167"/>
      <c r="I14" s="168">
        <f>IF(AND(H15="",H16="",H17=""),"",SUM(H15:H17))</f>
        <v>2498</v>
      </c>
    </row>
    <row r="15" spans="1:11" s="164" customFormat="1" x14ac:dyDescent="0.2">
      <c r="A15" s="191"/>
      <c r="B15" s="169" t="str">
        <f>B14</f>
        <v>CROATIA 2</v>
      </c>
      <c r="C15" s="162" t="s">
        <v>1142</v>
      </c>
      <c r="D15" s="170" t="str">
        <f>VLOOKUP($C15,'Start List'!$D$15:$Y$139,D$8,FALSE)</f>
        <v>M</v>
      </c>
      <c r="E15" s="171">
        <f>IF($E$6="","",VLOOKUP($C15,'Start List'!$D$15:$Y$139,E$8,FALSE))</f>
        <v>256</v>
      </c>
      <c r="F15" s="171">
        <f>VLOOKUP($C15,'Start List'!$D$15:$Y$139,F$8,FALSE)</f>
        <v>277</v>
      </c>
      <c r="G15" s="171">
        <f>VLOOKUP($C15,'Start List'!$D$15:$Y$139,G$8,FALSE)</f>
        <v>277</v>
      </c>
      <c r="H15" s="167">
        <f>SUM(E15:G15)</f>
        <v>810</v>
      </c>
      <c r="I15" s="172">
        <f>IF(AND(H15="",H16="",H17=""),"",SUM(H15:H17))</f>
        <v>2498</v>
      </c>
    </row>
    <row r="16" spans="1:11" s="164" customFormat="1" x14ac:dyDescent="0.2">
      <c r="A16" s="191"/>
      <c r="B16" s="169" t="str">
        <f>B14</f>
        <v>CROATIA 2</v>
      </c>
      <c r="C16" s="162" t="s">
        <v>1149</v>
      </c>
      <c r="D16" s="170" t="str">
        <f>VLOOKUP($C16,'Start List'!$D$15:$Y$139,D$8,FALSE)</f>
        <v>W</v>
      </c>
      <c r="E16" s="171">
        <f>IF($E$6="","",VLOOKUP($C16,'Start List'!$D$15:$Y$139,E$8,FALSE))</f>
        <v>280</v>
      </c>
      <c r="F16" s="171">
        <f>VLOOKUP($C16,'Start List'!$D$15:$Y$139,F$8,FALSE)</f>
        <v>294</v>
      </c>
      <c r="G16" s="171">
        <f>VLOOKUP($C16,'Start List'!$D$15:$Y$139,G$8,FALSE)</f>
        <v>290</v>
      </c>
      <c r="H16" s="167">
        <f>SUM(E16:G16)</f>
        <v>864</v>
      </c>
      <c r="I16" s="172">
        <f>IF(AND(H15="",H16="",H17=""),"",SUM(H15:H17))</f>
        <v>2498</v>
      </c>
    </row>
    <row r="17" spans="1:9" s="164" customFormat="1" x14ac:dyDescent="0.2">
      <c r="A17" s="191"/>
      <c r="B17" s="169" t="str">
        <f>B14</f>
        <v>CROATIA 2</v>
      </c>
      <c r="C17" s="162" t="s">
        <v>1161</v>
      </c>
      <c r="D17" s="170" t="str">
        <f>VLOOKUP($C17,'Start List'!$D$15:$Y$139,D$8,FALSE)</f>
        <v>C</v>
      </c>
      <c r="E17" s="171">
        <f>IF($E$6="","",VLOOKUP($C17,'Start List'!$D$15:$Y$139,E$8,FALSE))</f>
        <v>264</v>
      </c>
      <c r="F17" s="171">
        <f>VLOOKUP($C17,'Start List'!$D$15:$Y$139,F$8,FALSE)</f>
        <v>271</v>
      </c>
      <c r="G17" s="171">
        <f>VLOOKUP($C17,'Start List'!$D$15:$Y$139,G$8,FALSE)</f>
        <v>289</v>
      </c>
      <c r="H17" s="167">
        <f>SUM(E17:G17)</f>
        <v>824</v>
      </c>
      <c r="I17" s="172">
        <f>IF(AND(H15="",H16="",H17=""),"",SUM(H15:H17))</f>
        <v>2498</v>
      </c>
    </row>
    <row r="18" spans="1:9" s="164" customFormat="1" x14ac:dyDescent="0.2">
      <c r="A18" s="191"/>
      <c r="B18" s="169" t="str">
        <f>B14</f>
        <v>CROATIA 2</v>
      </c>
      <c r="D18" s="165"/>
      <c r="E18" s="173">
        <f>IF($E$6="","",SUM(E15:E17))</f>
        <v>800</v>
      </c>
      <c r="F18" s="173">
        <f>SUM(F15:F17)</f>
        <v>842</v>
      </c>
      <c r="G18" s="173">
        <f>SUM(G15:G17)</f>
        <v>856</v>
      </c>
      <c r="H18" s="167"/>
      <c r="I18" s="172">
        <f>IF(AND(H15="",H16="",H17=""),"",SUM(H15:H17))</f>
        <v>2498</v>
      </c>
    </row>
    <row r="19" spans="1:9" s="164" customFormat="1" x14ac:dyDescent="0.2">
      <c r="A19" s="190">
        <v>3</v>
      </c>
      <c r="B19" s="161" t="s">
        <v>1181</v>
      </c>
      <c r="D19" s="165"/>
      <c r="E19" s="166"/>
      <c r="F19" s="166"/>
      <c r="G19" s="166"/>
      <c r="H19" s="167"/>
      <c r="I19" s="168">
        <f>IF(AND(H20="",H21="",H22=""),"",SUM(H20:H22))</f>
        <v>2441</v>
      </c>
    </row>
    <row r="20" spans="1:9" s="164" customFormat="1" x14ac:dyDescent="0.2">
      <c r="A20" s="191"/>
      <c r="B20" s="169" t="str">
        <f>B19</f>
        <v>CZE 1</v>
      </c>
      <c r="C20" s="162" t="s">
        <v>1140</v>
      </c>
      <c r="D20" s="170" t="str">
        <f>VLOOKUP($C20,'Start List'!$D$15:$Y$139,D$8,FALSE)</f>
        <v>M</v>
      </c>
      <c r="E20" s="171">
        <f>IF($E$6="","",VLOOKUP($C20,'Start List'!$D$15:$Y$139,E$8,FALSE))</f>
        <v>280</v>
      </c>
      <c r="F20" s="171">
        <f>VLOOKUP($C20,'Start List'!$D$15:$Y$139,F$8,FALSE)</f>
        <v>295</v>
      </c>
      <c r="G20" s="171">
        <f>VLOOKUP($C20,'Start List'!$D$15:$Y$139,G$8,FALSE)</f>
        <v>294</v>
      </c>
      <c r="H20" s="167">
        <f>SUM(E20:G20)</f>
        <v>869</v>
      </c>
      <c r="I20" s="172">
        <f>IF(AND(H20="",H21="",H22=""),"",SUM(H20:H22))</f>
        <v>2441</v>
      </c>
    </row>
    <row r="21" spans="1:9" s="164" customFormat="1" x14ac:dyDescent="0.2">
      <c r="A21" s="191"/>
      <c r="B21" s="169" t="str">
        <f>B19</f>
        <v>CZE 1</v>
      </c>
      <c r="C21" s="162" t="s">
        <v>1168</v>
      </c>
      <c r="D21" s="170" t="str">
        <f>VLOOKUP($C21,'Start List'!$D$15:$Y$139,D$8,FALSE)</f>
        <v>SM</v>
      </c>
      <c r="E21" s="171">
        <f>IF($E$6="","",VLOOKUP($C21,'Start List'!$D$15:$Y$139,E$8,FALSE))</f>
        <v>253</v>
      </c>
      <c r="F21" s="171">
        <f>VLOOKUP($C21,'Start List'!$D$15:$Y$139,F$8,FALSE)</f>
        <v>263</v>
      </c>
      <c r="G21" s="171">
        <f>VLOOKUP($C21,'Start List'!$D$15:$Y$139,G$8,FALSE)</f>
        <v>286</v>
      </c>
      <c r="H21" s="167">
        <f>SUM(E21:G21)</f>
        <v>802</v>
      </c>
      <c r="I21" s="172">
        <f>IF(AND(H20="",H21="",H22=""),"",SUM(H20:H22))</f>
        <v>2441</v>
      </c>
    </row>
    <row r="22" spans="1:9" s="164" customFormat="1" x14ac:dyDescent="0.2">
      <c r="A22" s="191"/>
      <c r="B22" s="169" t="str">
        <f>B19</f>
        <v>CZE 1</v>
      </c>
      <c r="C22" s="162" t="s">
        <v>1159</v>
      </c>
      <c r="D22" s="170" t="str">
        <f>VLOOKUP($C22,'Start List'!$D$15:$Y$139,D$8,FALSE)</f>
        <v>C</v>
      </c>
      <c r="E22" s="171">
        <f>IF($E$6="","",VLOOKUP($C22,'Start List'!$D$15:$Y$139,E$8,FALSE))</f>
        <v>225</v>
      </c>
      <c r="F22" s="171">
        <f>VLOOKUP($C22,'Start List'!$D$15:$Y$139,F$8,FALSE)</f>
        <v>269</v>
      </c>
      <c r="G22" s="171">
        <f>VLOOKUP($C22,'Start List'!$D$15:$Y$139,G$8,FALSE)</f>
        <v>276</v>
      </c>
      <c r="H22" s="167">
        <f>SUM(E22:G22)</f>
        <v>770</v>
      </c>
      <c r="I22" s="172">
        <f>IF(AND(H20="",H21="",H22=""),"",SUM(H20:H22))</f>
        <v>2441</v>
      </c>
    </row>
    <row r="23" spans="1:9" s="164" customFormat="1" x14ac:dyDescent="0.2">
      <c r="A23" s="191"/>
      <c r="B23" s="169" t="str">
        <f>B19</f>
        <v>CZE 1</v>
      </c>
      <c r="D23" s="165"/>
      <c r="E23" s="173">
        <f>IF($E$6="","",SUM(E20:E22))</f>
        <v>758</v>
      </c>
      <c r="F23" s="173">
        <f>SUM(F20:F22)</f>
        <v>827</v>
      </c>
      <c r="G23" s="173">
        <f>SUM(G20:G22)</f>
        <v>856</v>
      </c>
      <c r="H23" s="167"/>
      <c r="I23" s="172">
        <f>IF(AND(H20="",H21="",H22=""),"",SUM(H20:H22))</f>
        <v>2441</v>
      </c>
    </row>
    <row r="24" spans="1:9" s="164" customFormat="1" x14ac:dyDescent="0.2">
      <c r="A24" s="190">
        <v>4</v>
      </c>
      <c r="B24" s="161" t="s">
        <v>1184</v>
      </c>
      <c r="D24" s="165"/>
      <c r="E24" s="166"/>
      <c r="F24" s="166"/>
      <c r="G24" s="166"/>
      <c r="H24" s="167"/>
      <c r="I24" s="168">
        <f>IF(AND(H25="",H26="",H27=""),"",SUM(H25:H27))</f>
        <v>2407</v>
      </c>
    </row>
    <row r="25" spans="1:9" s="164" customFormat="1" x14ac:dyDescent="0.2">
      <c r="A25" s="191"/>
      <c r="B25" s="169" t="str">
        <f>B24</f>
        <v>HUN 1</v>
      </c>
      <c r="C25" s="162" t="s">
        <v>1143</v>
      </c>
      <c r="D25" s="170" t="str">
        <f>VLOOKUP($C25,'Start List'!$D$15:$Y$139,D$8,FALSE)</f>
        <v>M</v>
      </c>
      <c r="E25" s="171">
        <f>IF($E$6="","",VLOOKUP($C25,'Start List'!$D$15:$Y$139,E$8,FALSE))</f>
        <v>268</v>
      </c>
      <c r="F25" s="171">
        <f>VLOOKUP($C25,'Start List'!$D$15:$Y$139,F$8,FALSE)</f>
        <v>283</v>
      </c>
      <c r="G25" s="171">
        <f>VLOOKUP($C25,'Start List'!$D$15:$Y$139,G$8,FALSE)</f>
        <v>289</v>
      </c>
      <c r="H25" s="167">
        <f>SUM(E25:G25)</f>
        <v>840</v>
      </c>
      <c r="I25" s="172">
        <f>IF(AND(H25="",H26="",H27=""),"",SUM(H25:H27))</f>
        <v>2407</v>
      </c>
    </row>
    <row r="26" spans="1:9" s="164" customFormat="1" x14ac:dyDescent="0.2">
      <c r="A26" s="191"/>
      <c r="B26" s="169" t="str">
        <f>B24</f>
        <v>HUN 1</v>
      </c>
      <c r="C26" s="162" t="s">
        <v>1151</v>
      </c>
      <c r="D26" s="170" t="str">
        <f>VLOOKUP($C26,'Start List'!$D$15:$Y$139,D$8,FALSE)</f>
        <v>W</v>
      </c>
      <c r="E26" s="171">
        <f>IF($E$6="","",VLOOKUP($C26,'Start List'!$D$15:$Y$139,E$8,FALSE))</f>
        <v>243</v>
      </c>
      <c r="F26" s="171">
        <f>VLOOKUP($C26,'Start List'!$D$15:$Y$139,F$8,FALSE)</f>
        <v>278</v>
      </c>
      <c r="G26" s="171">
        <f>VLOOKUP($C26,'Start List'!$D$15:$Y$139,G$8,FALSE)</f>
        <v>272</v>
      </c>
      <c r="H26" s="167">
        <f>SUM(E26:G26)</f>
        <v>793</v>
      </c>
      <c r="I26" s="172">
        <f>IF(AND(H25="",H26="",H27=""),"",SUM(H25:H27))</f>
        <v>2407</v>
      </c>
    </row>
    <row r="27" spans="1:9" s="164" customFormat="1" x14ac:dyDescent="0.2">
      <c r="A27" s="191"/>
      <c r="B27" s="169" t="str">
        <f>B24</f>
        <v>HUN 1</v>
      </c>
      <c r="C27" s="162" t="s">
        <v>1169</v>
      </c>
      <c r="D27" s="170" t="str">
        <f>VLOOKUP($C27,'Start List'!$D$15:$Y$139,D$8,FALSE)</f>
        <v>SM</v>
      </c>
      <c r="E27" s="171">
        <f>IF($E$6="","",VLOOKUP($C27,'Start List'!$D$15:$Y$139,E$8,FALSE))</f>
        <v>243</v>
      </c>
      <c r="F27" s="171">
        <f>VLOOKUP($C27,'Start List'!$D$15:$Y$139,F$8,FALSE)</f>
        <v>269</v>
      </c>
      <c r="G27" s="171">
        <f>VLOOKUP($C27,'Start List'!$D$15:$Y$139,G$8,FALSE)</f>
        <v>262</v>
      </c>
      <c r="H27" s="167">
        <f>SUM(E27:G27)</f>
        <v>774</v>
      </c>
      <c r="I27" s="172">
        <f>IF(AND(H25="",H26="",H27=""),"",SUM(H25:H27))</f>
        <v>2407</v>
      </c>
    </row>
    <row r="28" spans="1:9" s="164" customFormat="1" x14ac:dyDescent="0.2">
      <c r="A28" s="191"/>
      <c r="B28" s="169" t="str">
        <f>B24</f>
        <v>HUN 1</v>
      </c>
      <c r="D28" s="165"/>
      <c r="E28" s="173">
        <f>IF($E$6="","",SUM(E25:E27))</f>
        <v>754</v>
      </c>
      <c r="F28" s="173">
        <f>SUM(F25:F27)</f>
        <v>830</v>
      </c>
      <c r="G28" s="173">
        <f>SUM(G25:G27)</f>
        <v>823</v>
      </c>
      <c r="H28" s="167"/>
      <c r="I28" s="172">
        <f>IF(AND(H25="",H26="",H27=""),"",SUM(H25:H27))</f>
        <v>2407</v>
      </c>
    </row>
    <row r="29" spans="1:9" s="164" customFormat="1" x14ac:dyDescent="0.2">
      <c r="A29" s="190">
        <v>5</v>
      </c>
      <c r="B29" s="161" t="s">
        <v>1182</v>
      </c>
      <c r="D29" s="165"/>
      <c r="E29" s="166"/>
      <c r="F29" s="166"/>
      <c r="G29" s="166"/>
      <c r="H29" s="167"/>
      <c r="I29" s="168">
        <f>IF(AND(H30="",H31="",H32=""),"",SUM(H30:H32))</f>
        <v>2312</v>
      </c>
    </row>
    <row r="30" spans="1:9" s="164" customFormat="1" x14ac:dyDescent="0.2">
      <c r="A30" s="191"/>
      <c r="B30" s="169" t="str">
        <f>B29</f>
        <v>CZE 2</v>
      </c>
      <c r="C30" s="162" t="s">
        <v>1170</v>
      </c>
      <c r="D30" s="170" t="str">
        <f>VLOOKUP($C30,'Start List'!$D$15:$Y$139,D$8,FALSE)</f>
        <v>SM</v>
      </c>
      <c r="E30" s="171">
        <f>IF($E$6="","",VLOOKUP($C30,'Start List'!$D$15:$Y$139,E$8,FALSE))</f>
        <v>216</v>
      </c>
      <c r="F30" s="171">
        <f>VLOOKUP($C30,'Start List'!$D$15:$Y$139,F$8,FALSE)</f>
        <v>261</v>
      </c>
      <c r="G30" s="171">
        <f>VLOOKUP($C30,'Start List'!$D$15:$Y$139,G$8,FALSE)</f>
        <v>258</v>
      </c>
      <c r="H30" s="167">
        <f>SUM(E30:G30)</f>
        <v>735</v>
      </c>
      <c r="I30" s="172">
        <f>IF(AND(H30="",H31="",H32=""),"",SUM(H30:H32))</f>
        <v>2312</v>
      </c>
    </row>
    <row r="31" spans="1:9" s="164" customFormat="1" x14ac:dyDescent="0.2">
      <c r="A31" s="191"/>
      <c r="B31" s="169" t="str">
        <f>B29</f>
        <v>CZE 2</v>
      </c>
      <c r="C31" s="162" t="s">
        <v>1176</v>
      </c>
      <c r="D31" s="170" t="str">
        <f>VLOOKUP($C31,'Start List'!$D$15:$Y$139,D$8,FALSE)</f>
        <v>SW</v>
      </c>
      <c r="E31" s="171">
        <f>IF($E$6="","",VLOOKUP($C31,'Start List'!$D$15:$Y$139,E$8,FALSE))</f>
        <v>250</v>
      </c>
      <c r="F31" s="171">
        <f>VLOOKUP($C31,'Start List'!$D$15:$Y$139,F$8,FALSE)</f>
        <v>262</v>
      </c>
      <c r="G31" s="171">
        <f>VLOOKUP($C31,'Start List'!$D$15:$Y$139,G$8,FALSE)</f>
        <v>283</v>
      </c>
      <c r="H31" s="167">
        <f>SUM(E31:G31)</f>
        <v>795</v>
      </c>
      <c r="I31" s="172">
        <f>IF(AND(H30="",H31="",H32=""),"",SUM(H30:H32))</f>
        <v>2312</v>
      </c>
    </row>
    <row r="32" spans="1:9" s="164" customFormat="1" x14ac:dyDescent="0.2">
      <c r="A32" s="191"/>
      <c r="B32" s="169" t="str">
        <f>B29</f>
        <v>CZE 2</v>
      </c>
      <c r="C32" s="162" t="s">
        <v>1150</v>
      </c>
      <c r="D32" s="170" t="str">
        <f>VLOOKUP($C32,'Start List'!$D$15:$Y$139,D$8,FALSE)</f>
        <v>W</v>
      </c>
      <c r="E32" s="171">
        <f>IF($E$6="","",VLOOKUP($C32,'Start List'!$D$15:$Y$139,E$8,FALSE))</f>
        <v>246</v>
      </c>
      <c r="F32" s="171">
        <f>VLOOKUP($C32,'Start List'!$D$15:$Y$139,F$8,FALSE)</f>
        <v>267</v>
      </c>
      <c r="G32" s="171">
        <f>VLOOKUP($C32,'Start List'!$D$15:$Y$139,G$8,FALSE)</f>
        <v>269</v>
      </c>
      <c r="H32" s="167">
        <f>SUM(E32:G32)</f>
        <v>782</v>
      </c>
      <c r="I32" s="172">
        <f>IF(AND(H30="",H31="",H32=""),"",SUM(H30:H32))</f>
        <v>2312</v>
      </c>
    </row>
    <row r="33" spans="1:9" s="164" customFormat="1" x14ac:dyDescent="0.2">
      <c r="A33" s="191"/>
      <c r="B33" s="169" t="str">
        <f>B29</f>
        <v>CZE 2</v>
      </c>
      <c r="D33" s="165"/>
      <c r="E33" s="173">
        <f>IF($E$6="","",SUM(E30:E32))</f>
        <v>712</v>
      </c>
      <c r="F33" s="173">
        <f>SUM(F30:F32)</f>
        <v>790</v>
      </c>
      <c r="G33" s="173">
        <f>SUM(G30:G32)</f>
        <v>810</v>
      </c>
      <c r="H33" s="167"/>
      <c r="I33" s="172">
        <f>IF(AND(H30="",H31="",H32=""),"",SUM(H30:H32))</f>
        <v>2312</v>
      </c>
    </row>
    <row r="34" spans="1:9" x14ac:dyDescent="0.2">
      <c r="A34" s="190">
        <v>6</v>
      </c>
      <c r="B34" s="161" t="s">
        <v>1183</v>
      </c>
      <c r="C34" s="164"/>
      <c r="D34" s="165"/>
      <c r="E34" s="166"/>
      <c r="F34" s="166"/>
      <c r="G34" s="166"/>
      <c r="H34" s="167"/>
      <c r="I34" s="168">
        <f>IF(AND(H35="",H36="",H37=""),"",SUM(H35:H37))</f>
        <v>2273</v>
      </c>
    </row>
    <row r="35" spans="1:9" x14ac:dyDescent="0.2">
      <c r="A35" s="191"/>
      <c r="B35" s="169" t="str">
        <f>B34</f>
        <v>CZE 3</v>
      </c>
      <c r="C35" s="162" t="s">
        <v>1171</v>
      </c>
      <c r="D35" s="170" t="str">
        <f>VLOOKUP($C35,'Start List'!$D$15:$Y$139,D$8,FALSE)</f>
        <v>SM</v>
      </c>
      <c r="E35" s="171">
        <f>IF($E$6="","",VLOOKUP($C35,'Start List'!$D$15:$Y$139,E$8,FALSE))</f>
        <v>213</v>
      </c>
      <c r="F35" s="171">
        <f>VLOOKUP($C35,'Start List'!$D$15:$Y$139,F$8,FALSE)</f>
        <v>263</v>
      </c>
      <c r="G35" s="171">
        <f>VLOOKUP($C35,'Start List'!$D$15:$Y$139,G$8,FALSE)</f>
        <v>261</v>
      </c>
      <c r="H35" s="167">
        <f>SUM(E35:G35)</f>
        <v>737</v>
      </c>
      <c r="I35" s="172">
        <f>IF(AND(H35="",H36="",H37=""),"",SUM(H35:H37))</f>
        <v>2273</v>
      </c>
    </row>
    <row r="36" spans="1:9" x14ac:dyDescent="0.2">
      <c r="A36" s="191"/>
      <c r="B36" s="169" t="str">
        <f>B34</f>
        <v>CZE 3</v>
      </c>
      <c r="C36" s="162" t="s">
        <v>1147</v>
      </c>
      <c r="D36" s="170" t="str">
        <f>VLOOKUP($C36,'Start List'!$D$15:$Y$139,D$8,FALSE)</f>
        <v>W</v>
      </c>
      <c r="E36" s="171">
        <f>IF($E$6="","",VLOOKUP($C36,'Start List'!$D$15:$Y$139,E$8,FALSE))</f>
        <v>250</v>
      </c>
      <c r="F36" s="171">
        <f>VLOOKUP($C36,'Start List'!$D$15:$Y$139,F$8,FALSE)</f>
        <v>254</v>
      </c>
      <c r="G36" s="171">
        <f>VLOOKUP($C36,'Start List'!$D$15:$Y$139,G$8,FALSE)</f>
        <v>272</v>
      </c>
      <c r="H36" s="167">
        <f>SUM(E36:G36)</f>
        <v>776</v>
      </c>
      <c r="I36" s="172">
        <f>IF(AND(H35="",H36="",H37=""),"",SUM(H35:H37))</f>
        <v>2273</v>
      </c>
    </row>
    <row r="37" spans="1:9" x14ac:dyDescent="0.2">
      <c r="A37" s="191"/>
      <c r="B37" s="169" t="str">
        <f>B34</f>
        <v>CZE 3</v>
      </c>
      <c r="C37" s="162" t="s">
        <v>1153</v>
      </c>
      <c r="D37" s="170" t="str">
        <f>VLOOKUP($C37,'Start List'!$D$15:$Y$139,D$8,FALSE)</f>
        <v>J</v>
      </c>
      <c r="E37" s="171">
        <f>IF($E$6="","",VLOOKUP($C37,'Start List'!$D$15:$Y$139,E$8,FALSE))</f>
        <v>240</v>
      </c>
      <c r="F37" s="171">
        <f>VLOOKUP($C37,'Start List'!$D$15:$Y$139,F$8,FALSE)</f>
        <v>263</v>
      </c>
      <c r="G37" s="171">
        <f>VLOOKUP($C37,'Start List'!$D$15:$Y$139,G$8,FALSE)</f>
        <v>257</v>
      </c>
      <c r="H37" s="167">
        <f>SUM(E37:G37)</f>
        <v>760</v>
      </c>
      <c r="I37" s="172">
        <f>IF(AND(H35="",H36="",H37=""),"",SUM(H35:H37))</f>
        <v>2273</v>
      </c>
    </row>
    <row r="38" spans="1:9" x14ac:dyDescent="0.2">
      <c r="A38" s="191"/>
      <c r="B38" s="169" t="str">
        <f>B34</f>
        <v>CZE 3</v>
      </c>
      <c r="C38" s="164"/>
      <c r="D38" s="165"/>
      <c r="E38" s="173">
        <f>IF($E$6="","",SUM(E35:E37))</f>
        <v>703</v>
      </c>
      <c r="F38" s="173">
        <f>SUM(F35:F37)</f>
        <v>780</v>
      </c>
      <c r="G38" s="173">
        <f>SUM(G35:G37)</f>
        <v>790</v>
      </c>
      <c r="H38" s="167"/>
      <c r="I38" s="172">
        <f>IF(AND(H35="",H36="",H37=""),"",SUM(H35:H37))</f>
        <v>2273</v>
      </c>
    </row>
    <row r="39" spans="1:9" x14ac:dyDescent="0.2">
      <c r="A39" s="190">
        <v>7</v>
      </c>
      <c r="B39" s="161" t="s">
        <v>1185</v>
      </c>
      <c r="C39" s="164"/>
      <c r="D39" s="165"/>
      <c r="E39" s="166"/>
      <c r="F39" s="166"/>
      <c r="G39" s="166"/>
      <c r="H39" s="167"/>
      <c r="I39" s="168">
        <f>IF(AND(H40="",H41="",H42=""),"",SUM(H40:H42))</f>
        <v>2257</v>
      </c>
    </row>
    <row r="40" spans="1:9" x14ac:dyDescent="0.2">
      <c r="A40" s="191"/>
      <c r="B40" s="169" t="str">
        <f>B39</f>
        <v>HUN 2</v>
      </c>
      <c r="C40" s="162" t="s">
        <v>1175</v>
      </c>
      <c r="D40" s="170" t="str">
        <f>VLOOKUP($C40,'Start List'!$D$15:$Y$139,D$8,FALSE)</f>
        <v>SW</v>
      </c>
      <c r="E40" s="171">
        <f>IF($E$6="","",VLOOKUP($C40,'Start List'!$D$15:$Y$139,E$8,FALSE))</f>
        <v>234</v>
      </c>
      <c r="F40" s="171">
        <f>VLOOKUP($C40,'Start List'!$D$15:$Y$139,F$8,FALSE)</f>
        <v>270</v>
      </c>
      <c r="G40" s="171">
        <f>VLOOKUP($C40,'Start List'!$D$15:$Y$139,G$8,FALSE)</f>
        <v>276</v>
      </c>
      <c r="H40" s="167">
        <f>SUM(E40:G40)</f>
        <v>780</v>
      </c>
      <c r="I40" s="172">
        <f>IF(AND(H40="",H41="",H42=""),"",SUM(H40:H42))</f>
        <v>2257</v>
      </c>
    </row>
    <row r="41" spans="1:9" x14ac:dyDescent="0.2">
      <c r="A41" s="191"/>
      <c r="B41" s="169" t="str">
        <f>B39</f>
        <v>HUN 2</v>
      </c>
      <c r="C41" s="162" t="s">
        <v>1177</v>
      </c>
      <c r="D41" s="170" t="str">
        <f>VLOOKUP($C41,'Start List'!$D$15:$Y$139,D$8,FALSE)</f>
        <v>SW</v>
      </c>
      <c r="E41" s="171">
        <f>IF($E$6="","",VLOOKUP($C41,'Start List'!$D$15:$Y$139,E$8,FALSE))</f>
        <v>248</v>
      </c>
      <c r="F41" s="171">
        <f>VLOOKUP($C41,'Start List'!$D$15:$Y$139,F$8,FALSE)</f>
        <v>253</v>
      </c>
      <c r="G41" s="171">
        <f>VLOOKUP($C41,'Start List'!$D$15:$Y$139,G$8,FALSE)</f>
        <v>258</v>
      </c>
      <c r="H41" s="167">
        <f>SUM(E41:G41)</f>
        <v>759</v>
      </c>
      <c r="I41" s="172">
        <f>IF(AND(H40="",H41="",H42=""),"",SUM(H40:H42))</f>
        <v>2257</v>
      </c>
    </row>
    <row r="42" spans="1:9" x14ac:dyDescent="0.2">
      <c r="A42" s="191"/>
      <c r="B42" s="169" t="str">
        <f>B39</f>
        <v>HUN 2</v>
      </c>
      <c r="C42" s="162" t="s">
        <v>1174</v>
      </c>
      <c r="D42" s="170" t="str">
        <f>VLOOKUP($C42,'Start List'!$D$15:$Y$139,D$8,FALSE)</f>
        <v>SM</v>
      </c>
      <c r="E42" s="171">
        <f>IF($E$6="","",VLOOKUP($C42,'Start List'!$D$15:$Y$139,E$8,FALSE))</f>
        <v>199</v>
      </c>
      <c r="F42" s="171">
        <f>VLOOKUP($C42,'Start List'!$D$15:$Y$139,F$8,FALSE)</f>
        <v>261</v>
      </c>
      <c r="G42" s="171">
        <f>VLOOKUP($C42,'Start List'!$D$15:$Y$139,G$8,FALSE)</f>
        <v>258</v>
      </c>
      <c r="H42" s="167">
        <f>SUM(E42:G42)</f>
        <v>718</v>
      </c>
      <c r="I42" s="172">
        <f>IF(AND(H40="",H41="",H42=""),"",SUM(H40:H42))</f>
        <v>2257</v>
      </c>
    </row>
    <row r="43" spans="1:9" x14ac:dyDescent="0.2">
      <c r="A43" s="191"/>
      <c r="B43" s="169" t="str">
        <f>B39</f>
        <v>HUN 2</v>
      </c>
      <c r="C43" s="164"/>
      <c r="D43" s="165"/>
      <c r="E43" s="173">
        <f>IF($E$6="","",SUM(E40:E42))</f>
        <v>681</v>
      </c>
      <c r="F43" s="173">
        <f>SUM(F40:F42)</f>
        <v>784</v>
      </c>
      <c r="G43" s="173">
        <f>SUM(G40:G42)</f>
        <v>792</v>
      </c>
      <c r="H43" s="167"/>
      <c r="I43" s="172">
        <f>IF(AND(H40="",H41="",H42=""),"",SUM(H40:H42))</f>
        <v>2257</v>
      </c>
    </row>
    <row r="44" spans="1:9" x14ac:dyDescent="0.2">
      <c r="A44" s="190"/>
      <c r="B44" s="161"/>
    </row>
    <row r="45" spans="1:9" x14ac:dyDescent="0.2">
      <c r="A45" s="191"/>
      <c r="B45" s="169"/>
    </row>
    <row r="46" spans="1:9" x14ac:dyDescent="0.2">
      <c r="A46" s="191"/>
      <c r="B46" s="169"/>
    </row>
    <row r="47" spans="1:9" x14ac:dyDescent="0.2">
      <c r="A47" s="191"/>
      <c r="B47" s="169"/>
      <c r="C47" s="164"/>
      <c r="D47" s="165"/>
      <c r="E47" s="173"/>
      <c r="F47" s="173"/>
      <c r="G47" s="173"/>
      <c r="H47" s="167"/>
      <c r="I47" s="172"/>
    </row>
    <row r="48" spans="1:9" x14ac:dyDescent="0.2">
      <c r="A48" s="191"/>
      <c r="B48" s="169"/>
    </row>
    <row r="49" spans="1:9" x14ac:dyDescent="0.2">
      <c r="A49" s="190"/>
      <c r="B49" s="161"/>
    </row>
    <row r="50" spans="1:9" x14ac:dyDescent="0.2">
      <c r="A50" s="191"/>
      <c r="B50" s="169"/>
    </row>
    <row r="51" spans="1:9" x14ac:dyDescent="0.2">
      <c r="A51" s="191"/>
      <c r="B51" s="169"/>
      <c r="C51" s="164"/>
      <c r="D51" s="165"/>
      <c r="E51" s="173"/>
      <c r="F51" s="173"/>
      <c r="G51" s="173"/>
      <c r="H51" s="167"/>
      <c r="I51" s="172"/>
    </row>
    <row r="52" spans="1:9" x14ac:dyDescent="0.2">
      <c r="A52" s="191"/>
      <c r="B52" s="169"/>
    </row>
    <row r="53" spans="1:9" x14ac:dyDescent="0.2">
      <c r="A53" s="191"/>
      <c r="B53" s="169"/>
    </row>
    <row r="54" spans="1:9" x14ac:dyDescent="0.2">
      <c r="A54" s="190"/>
      <c r="B54" s="161"/>
    </row>
    <row r="55" spans="1:9" x14ac:dyDescent="0.2">
      <c r="A55" s="191"/>
      <c r="B55" s="169"/>
      <c r="C55" s="164"/>
      <c r="D55" s="165"/>
      <c r="E55" s="173"/>
      <c r="F55" s="173"/>
      <c r="G55" s="173"/>
      <c r="H55" s="167"/>
      <c r="I55" s="172"/>
    </row>
    <row r="56" spans="1:9" x14ac:dyDescent="0.2">
      <c r="A56" s="191"/>
      <c r="B56" s="169"/>
    </row>
    <row r="57" spans="1:9" x14ac:dyDescent="0.2">
      <c r="A57" s="191"/>
      <c r="B57" s="169"/>
    </row>
    <row r="58" spans="1:9" x14ac:dyDescent="0.2">
      <c r="A58" s="191"/>
      <c r="B58" s="169"/>
    </row>
    <row r="59" spans="1:9" x14ac:dyDescent="0.2">
      <c r="A59" s="190"/>
      <c r="B59" s="161"/>
      <c r="C59" s="164"/>
      <c r="D59" s="165"/>
      <c r="E59" s="173"/>
      <c r="F59" s="173"/>
      <c r="G59" s="173"/>
      <c r="H59" s="167"/>
      <c r="I59" s="172"/>
    </row>
    <row r="60" spans="1:9" x14ac:dyDescent="0.2">
      <c r="A60" s="191"/>
      <c r="B60" s="169"/>
    </row>
    <row r="61" spans="1:9" x14ac:dyDescent="0.2">
      <c r="A61" s="191"/>
      <c r="B61" s="169"/>
    </row>
    <row r="62" spans="1:9" x14ac:dyDescent="0.2">
      <c r="A62" s="191"/>
      <c r="B62" s="169"/>
    </row>
    <row r="63" spans="1:9" x14ac:dyDescent="0.2">
      <c r="A63" s="191"/>
      <c r="B63" s="169"/>
      <c r="C63" s="164"/>
      <c r="D63" s="165"/>
      <c r="E63" s="173"/>
      <c r="F63" s="173"/>
      <c r="G63" s="173"/>
      <c r="H63" s="167"/>
      <c r="I63" s="172"/>
    </row>
    <row r="64" spans="1:9" x14ac:dyDescent="0.2">
      <c r="A64" s="190"/>
      <c r="B64" s="161"/>
    </row>
    <row r="65" spans="1:9" x14ac:dyDescent="0.2">
      <c r="A65" s="191"/>
      <c r="B65" s="169"/>
    </row>
    <row r="66" spans="1:9" x14ac:dyDescent="0.2">
      <c r="A66" s="191"/>
      <c r="B66" s="169"/>
    </row>
    <row r="67" spans="1:9" x14ac:dyDescent="0.2">
      <c r="A67" s="191"/>
      <c r="B67" s="169"/>
      <c r="C67" s="164"/>
      <c r="D67" s="165"/>
      <c r="E67" s="173"/>
      <c r="F67" s="173"/>
      <c r="G67" s="173"/>
      <c r="H67" s="167"/>
      <c r="I67" s="172"/>
    </row>
    <row r="68" spans="1:9" x14ac:dyDescent="0.2">
      <c r="A68" s="191"/>
      <c r="B68" s="169"/>
    </row>
    <row r="69" spans="1:9" x14ac:dyDescent="0.2">
      <c r="A69" s="190"/>
      <c r="B69" s="161"/>
    </row>
    <row r="70" spans="1:9" x14ac:dyDescent="0.2">
      <c r="A70" s="191"/>
      <c r="B70" s="169"/>
    </row>
    <row r="71" spans="1:9" x14ac:dyDescent="0.2">
      <c r="A71" s="191"/>
      <c r="B71" s="169"/>
      <c r="C71" s="164"/>
      <c r="D71" s="165"/>
      <c r="E71" s="173"/>
      <c r="F71" s="173"/>
      <c r="G71" s="173"/>
      <c r="H71" s="167"/>
      <c r="I71" s="172"/>
    </row>
    <row r="72" spans="1:9" x14ac:dyDescent="0.2">
      <c r="A72" s="191"/>
      <c r="B72" s="169"/>
    </row>
    <row r="73" spans="1:9" x14ac:dyDescent="0.2">
      <c r="A73" s="191"/>
      <c r="B73" s="169"/>
    </row>
    <row r="74" spans="1:9" x14ac:dyDescent="0.2">
      <c r="A74" s="190"/>
      <c r="B74" s="161"/>
    </row>
    <row r="75" spans="1:9" x14ac:dyDescent="0.2">
      <c r="A75" s="191"/>
      <c r="B75" s="169"/>
      <c r="C75" s="164"/>
      <c r="D75" s="165"/>
      <c r="E75" s="173"/>
      <c r="F75" s="173"/>
      <c r="G75" s="173"/>
      <c r="H75" s="167"/>
      <c r="I75" s="172"/>
    </row>
    <row r="76" spans="1:9" x14ac:dyDescent="0.2">
      <c r="A76" s="191"/>
      <c r="B76" s="169"/>
    </row>
    <row r="77" spans="1:9" x14ac:dyDescent="0.2">
      <c r="A77" s="191"/>
      <c r="B77" s="169"/>
    </row>
    <row r="78" spans="1:9" x14ac:dyDescent="0.2">
      <c r="A78" s="191"/>
      <c r="B78" s="169"/>
    </row>
    <row r="79" spans="1:9" x14ac:dyDescent="0.2">
      <c r="A79" s="190"/>
      <c r="B79" s="161"/>
      <c r="C79" s="164"/>
      <c r="D79" s="165"/>
      <c r="E79" s="173"/>
      <c r="F79" s="173"/>
      <c r="G79" s="173"/>
      <c r="H79" s="167"/>
      <c r="I79" s="172"/>
    </row>
    <row r="80" spans="1:9" x14ac:dyDescent="0.2">
      <c r="A80" s="191"/>
      <c r="B80" s="169"/>
    </row>
    <row r="81" spans="1:13" x14ac:dyDescent="0.2">
      <c r="A81" s="191"/>
      <c r="B81" s="169"/>
    </row>
    <row r="82" spans="1:13" x14ac:dyDescent="0.2">
      <c r="A82" s="191"/>
      <c r="B82" s="169"/>
    </row>
    <row r="83" spans="1:13" x14ac:dyDescent="0.2">
      <c r="A83" s="191"/>
      <c r="B83" s="169"/>
      <c r="C83" s="164"/>
      <c r="D83" s="165"/>
      <c r="E83" s="173"/>
      <c r="F83" s="173"/>
      <c r="G83" s="173"/>
      <c r="H83" s="167"/>
      <c r="I83" s="172"/>
    </row>
    <row r="84" spans="1:13" x14ac:dyDescent="0.2">
      <c r="K84" s="191"/>
      <c r="L84" s="169"/>
      <c r="M84" s="162"/>
    </row>
    <row r="85" spans="1:13" x14ac:dyDescent="0.2">
      <c r="K85" s="191"/>
      <c r="L85" s="169"/>
      <c r="M85" s="162"/>
    </row>
    <row r="86" spans="1:13" x14ac:dyDescent="0.2">
      <c r="K86" s="191"/>
      <c r="L86" s="169"/>
      <c r="M86" s="164"/>
    </row>
  </sheetData>
  <sheetProtection password="D50B" sheet="1" objects="1" scenarios="1" insertRows="0" deleteRows="0" selectLockedCells="1" sort="0"/>
  <sortState ref="A9:I43">
    <sortCondition descending="1" ref="I9"/>
  </sortState>
  <mergeCells count="13">
    <mergeCell ref="G6:G7"/>
    <mergeCell ref="H6:H7"/>
    <mergeCell ref="I6:I7"/>
    <mergeCell ref="A1:I1"/>
    <mergeCell ref="A2:I2"/>
    <mergeCell ref="A4:I4"/>
    <mergeCell ref="A6:A7"/>
    <mergeCell ref="B6:B7"/>
    <mergeCell ref="C6:C7"/>
    <mergeCell ref="D6:D7"/>
    <mergeCell ref="E6:E7"/>
    <mergeCell ref="F6:F7"/>
    <mergeCell ref="A3:I3"/>
  </mergeCells>
  <conditionalFormatting sqref="F6:I7 E1:E1048576">
    <cfRule type="expression" dxfId="529" priority="1">
      <formula>OR($E$6="")</formula>
    </cfRule>
  </conditionalFormatting>
  <printOptions horizontalCentered="1"/>
  <pageMargins left="0.39370078740157483" right="0.39370078740157483" top="0.59055118110236227" bottom="0.59055118110236227" header="0" footer="0"/>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'Start List'!$D$15:$D$139</xm:f>
          </x14:formula1>
          <xm:sqref>C15:C17 C20:C22 C25:C27 C30:C32 C35:C37 C40:C42 C45:C47 C50:C52 C55:C57 C60:C62 C65:C67 C70:C72 C75:C77 C80:C82 C10:C12</xm:sqref>
        </x14:dataValidation>
        <x14:dataValidation type="list" allowBlank="1" showInputMessage="1" showErrorMessage="1">
          <x14:formula1>
            <xm:f>'Start List'!D15:D139</xm:f>
          </x14:formula1>
          <xm:sqref>C10:C12 C25:C27 C20:C22 C15:C17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T163"/>
  <sheetViews>
    <sheetView showGridLines="0" showRowColHeaders="0" tabSelected="1" zoomScaleSheetLayoutView="85" workbookViewId="0">
      <selection activeCell="AV26" sqref="AV26:AV27"/>
    </sheetView>
  </sheetViews>
  <sheetFormatPr defaultColWidth="7.5703125" defaultRowHeight="6.75" customHeight="1" x14ac:dyDescent="0.2"/>
  <cols>
    <col min="1" max="1" width="5.7109375" style="7" customWidth="1"/>
    <col min="2" max="6" width="5.28515625" style="4" customWidth="1"/>
    <col min="7" max="11" width="3.7109375" style="4" hidden="1" customWidth="1"/>
    <col min="12" max="12" width="5.7109375" style="3" customWidth="1"/>
    <col min="13" max="14" width="4.28515625" style="7" customWidth="1"/>
    <col min="15" max="15" width="5.7109375" style="3" customWidth="1"/>
    <col min="16" max="20" width="5.28515625" style="7" customWidth="1"/>
    <col min="21" max="25" width="3.7109375" style="7" hidden="1" customWidth="1"/>
    <col min="26" max="26" width="5.7109375" style="7" customWidth="1"/>
    <col min="27" max="28" width="4.28515625" style="7" customWidth="1"/>
    <col min="29" max="29" width="5.7109375" style="7" customWidth="1"/>
    <col min="30" max="34" width="5.28515625" style="7" customWidth="1"/>
    <col min="35" max="39" width="3.7109375" style="7" hidden="1" customWidth="1"/>
    <col min="40" max="40" width="5.7109375" style="7" customWidth="1"/>
    <col min="41" max="42" width="2.85546875" style="7" customWidth="1"/>
    <col min="43" max="43" width="5.7109375" style="7" customWidth="1"/>
    <col min="44" max="48" width="5.28515625" style="7" customWidth="1"/>
    <col min="49" max="53" width="0" style="7" hidden="1" customWidth="1"/>
    <col min="54" max="54" width="5.7109375" style="7" customWidth="1"/>
    <col min="55" max="56" width="2.85546875" style="7" customWidth="1"/>
    <col min="57" max="57" width="5.7109375" style="7" customWidth="1"/>
    <col min="58" max="62" width="5.28515625" style="7" customWidth="1"/>
    <col min="63" max="63" width="5.7109375" style="7" customWidth="1"/>
    <col min="64" max="64" width="7.5703125" style="7"/>
    <col min="65" max="65" width="3" style="7" hidden="1" customWidth="1"/>
    <col min="66" max="67" width="3.5703125" style="7" hidden="1" customWidth="1"/>
    <col min="68" max="70" width="5.140625" style="7" hidden="1" customWidth="1"/>
    <col min="71" max="71" width="3.5703125" style="7" hidden="1" customWidth="1"/>
    <col min="72" max="72" width="3" style="7" hidden="1" customWidth="1"/>
    <col min="73" max="16384" width="7.5703125" style="7"/>
  </cols>
  <sheetData>
    <row r="1" spans="1:63" s="6" customFormat="1" ht="15" customHeight="1" x14ac:dyDescent="0.25">
      <c r="A1" s="253" t="str">
        <f>'Start List'!A1</f>
        <v>22. BOHEMIA CUP - CROSSBOW FIELD</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row>
    <row r="2" spans="1:63" s="21" customFormat="1" ht="15" customHeight="1" x14ac:dyDescent="0.25">
      <c r="A2" s="253" t="str">
        <f>'Start List'!A2</f>
        <v>Nový Stadion, TJ Jiskra, Otrokovice</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row>
    <row r="3" spans="1:63" s="21" customFormat="1" ht="15" customHeight="1" x14ac:dyDescent="0.25">
      <c r="A3" s="253" t="str">
        <f>'Start List'!A3</f>
        <v>14.-16. August 2020</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row>
    <row r="4" spans="1:63" s="21" customFormat="1" ht="15" customHeight="1" x14ac:dyDescent="0.25">
      <c r="A4" s="253" t="str">
        <f>"Match Play - "&amp;IF(Data!AP6=3,Data!$AU$8,SUBSTITUTE(A5,"  ",""))</f>
        <v>Match Play - Men</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row>
    <row r="5" spans="1:63" s="21" customFormat="1" ht="14.25" hidden="1" customHeight="1" x14ac:dyDescent="0.25">
      <c r="A5" s="253" t="str">
        <f>VLOOKUP(Data!$AJ$2,Data!$AJ$2:$AK$7,2,FALSE)</f>
        <v>Men</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row>
    <row r="6" spans="1:63" s="6" customFormat="1" ht="6.75" customHeight="1" thickBot="1" x14ac:dyDescent="0.25">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8"/>
      <c r="AI6" s="29"/>
    </row>
    <row r="7" spans="1:63" s="1" customFormat="1" ht="6.75" customHeight="1" x14ac:dyDescent="0.2">
      <c r="A7" s="254">
        <v>1</v>
      </c>
      <c r="B7" s="255" t="str">
        <f ca="1">IF(A7=" "," ",IFERROR(VLOOKUP(LARGE(INDIRECT(VLOOKUP($A$5,'Start List'!$J$9:$Q$14,Data!AP6+4,FALSE)),A7),IF(Data!AP6=2,'Start List'!$C$15:$V$139,'Start List'!$B$15:$V$139),IF(Data!AP6=2,2,3),FALSE),"bye to the next round"))</f>
        <v>Korbař Bohumil</v>
      </c>
      <c r="C7" s="256"/>
      <c r="D7" s="256"/>
      <c r="E7" s="256"/>
      <c r="F7" s="256"/>
      <c r="G7" s="256"/>
      <c r="H7" s="256"/>
      <c r="I7" s="256"/>
      <c r="J7" s="256"/>
      <c r="K7" s="257"/>
      <c r="L7" s="261" t="str">
        <f ca="1">IFERROR(VLOOKUP(LARGE(INDIRECT(VLOOKUP($A$5,'Start List'!$J$9:$Q$14,Data!AP6+4,FALSE)),Men!A7),IF(Data!AP6=2,'Start List'!$C$15:$V$139,'Start List'!$B$15:$V$139),IF(Data!AP6=2,6,7),FALSE)," ")</f>
        <v xml:space="preserve"> </v>
      </c>
      <c r="M7" s="2"/>
      <c r="N7" s="5"/>
      <c r="O7" s="11"/>
    </row>
    <row r="8" spans="1:63" ht="6.75" customHeight="1" thickBot="1" x14ac:dyDescent="0.25">
      <c r="A8" s="254"/>
      <c r="B8" s="258"/>
      <c r="C8" s="259"/>
      <c r="D8" s="259"/>
      <c r="E8" s="259"/>
      <c r="F8" s="259"/>
      <c r="G8" s="259"/>
      <c r="H8" s="259"/>
      <c r="I8" s="259"/>
      <c r="J8" s="259"/>
      <c r="K8" s="260"/>
      <c r="L8" s="262"/>
      <c r="M8" s="14"/>
    </row>
    <row r="9" spans="1:63" ht="6.75" customHeight="1" thickBot="1" x14ac:dyDescent="0.25">
      <c r="A9" s="263">
        <f>VLOOKUP(VLOOKUP($A$5,'Start List'!$J$9:$Q$14,8,FALSE)&amp;A7,Data!$D$2:$H$97,2,FALSE)</f>
        <v>1</v>
      </c>
      <c r="B9" s="274">
        <v>29</v>
      </c>
      <c r="C9" s="271">
        <v>29</v>
      </c>
      <c r="D9" s="271">
        <v>28</v>
      </c>
      <c r="E9" s="271"/>
      <c r="F9" s="271"/>
      <c r="G9" s="268">
        <f>IF(B9&gt;B11,2,IF(AND(B11=B9,B9&gt;0),1,0))</f>
        <v>2</v>
      </c>
      <c r="H9" s="268">
        <f>IF(C9&gt;C11,2,IF(AND(C11=C9,C9&gt;0),1,0))</f>
        <v>2</v>
      </c>
      <c r="I9" s="268">
        <f>IF(D9&gt;D11,2,IF(AND(D11=D9,D9&gt;0),1,0))</f>
        <v>2</v>
      </c>
      <c r="J9" s="268">
        <f>IF(E9&gt;E11,2,IF(AND(E11=E9,E9&gt;0),1,0))</f>
        <v>0</v>
      </c>
      <c r="K9" s="268">
        <f>IF(F9&gt;F11,2,IF(AND(F11=F9,F9&gt;0),1,0))</f>
        <v>0</v>
      </c>
      <c r="L9" s="272">
        <f>SUM(G9:K10)</f>
        <v>6</v>
      </c>
      <c r="M9" s="9"/>
    </row>
    <row r="10" spans="1:63" ht="6.75" customHeight="1" x14ac:dyDescent="0.2">
      <c r="A10" s="263"/>
      <c r="B10" s="264"/>
      <c r="C10" s="266"/>
      <c r="D10" s="266"/>
      <c r="E10" s="266"/>
      <c r="F10" s="266"/>
      <c r="G10" s="269"/>
      <c r="H10" s="269"/>
      <c r="I10" s="269"/>
      <c r="J10" s="269"/>
      <c r="K10" s="269"/>
      <c r="L10" s="273"/>
      <c r="M10" s="15"/>
      <c r="O10" s="254">
        <f ca="1">IF(B13="bye to the next round",A7,IF(AND(L9&gt;L11,L9&gt;4),A7,IF(AND(L11&gt;L9,L11&gt;4),A13,IF(AND(L9=5,L11=5),MIN(A7,A13)," "))))</f>
        <v>1</v>
      </c>
      <c r="P10" s="255" t="str">
        <f ca="1">IF(O10=" "," ",IFERROR(VLOOKUP(LARGE(INDIRECT(VLOOKUP($A$5,'Start List'!$J$9:$Q$14,Data!AP6+4,FALSE)),O10),IF(Data!AP6=2,'Start List'!$C$15:$V$139,'Start List'!$B$15:$V$139),IF(Data!AP6=2,2,3),FALSE),"bye to the next round"))</f>
        <v>Korbař Bohumil</v>
      </c>
      <c r="Q10" s="256"/>
      <c r="R10" s="256"/>
      <c r="S10" s="256"/>
      <c r="T10" s="256"/>
      <c r="U10" s="256"/>
      <c r="V10" s="256"/>
      <c r="W10" s="256"/>
      <c r="X10" s="256"/>
      <c r="Y10" s="257"/>
      <c r="Z10" s="261" t="str">
        <f ca="1">IFERROR(VLOOKUP(LARGE(INDIRECT(VLOOKUP($A$5,'Start List'!$J$9:$Q$14,Data!AP6+4,FALSE)),Men!O10),IF(Data!AP6=2,'Start List'!$C$15:$V$139,'Start List'!$B$15:$V$139),IF(Data!AP6=2,6,7),FALSE)," ")</f>
        <v xml:space="preserve"> </v>
      </c>
      <c r="AA10" s="16"/>
    </row>
    <row r="11" spans="1:63" ht="6.75" customHeight="1" thickBot="1" x14ac:dyDescent="0.25">
      <c r="A11" s="263">
        <f>VLOOKUP(VLOOKUP($A$5,'Start List'!$J$9:$Q$14,8,FALSE)&amp;A13,Data!$D$2:$H$97,2,FALSE)</f>
        <v>2</v>
      </c>
      <c r="B11" s="264">
        <v>23</v>
      </c>
      <c r="C11" s="266">
        <v>22</v>
      </c>
      <c r="D11" s="266">
        <v>23</v>
      </c>
      <c r="E11" s="266"/>
      <c r="F11" s="266"/>
      <c r="G11" s="268">
        <f>IF(B9&lt;B11,2,IF(AND(B11=B9,B11&gt;0),1,0))</f>
        <v>0</v>
      </c>
      <c r="H11" s="268">
        <f>IF(C9&lt;C11,2,IF(AND(C11=C9,C11&gt;0),1,0))</f>
        <v>0</v>
      </c>
      <c r="I11" s="268">
        <f>IF(D9&lt;D11,2,IF(AND(D11=D9,D11&gt;0),1,0))</f>
        <v>0</v>
      </c>
      <c r="J11" s="268">
        <f>IF(E9&lt;E11,2,IF(AND(E11=E9,E11&gt;0),1,0))</f>
        <v>0</v>
      </c>
      <c r="K11" s="268">
        <f>IF(F9&lt;F11,2,IF(AND(F11=F9,F11&gt;0),1,0))</f>
        <v>0</v>
      </c>
      <c r="L11" s="272">
        <f>SUM(G11:K12)</f>
        <v>0</v>
      </c>
      <c r="M11" s="15"/>
      <c r="N11" s="10"/>
      <c r="O11" s="254"/>
      <c r="P11" s="258"/>
      <c r="Q11" s="259"/>
      <c r="R11" s="259"/>
      <c r="S11" s="259"/>
      <c r="T11" s="259"/>
      <c r="U11" s="259"/>
      <c r="V11" s="259"/>
      <c r="W11" s="259"/>
      <c r="X11" s="259"/>
      <c r="Y11" s="260"/>
      <c r="Z11" s="262"/>
      <c r="AA11" s="12"/>
    </row>
    <row r="12" spans="1:63" ht="6.75" customHeight="1" thickBot="1" x14ac:dyDescent="0.25">
      <c r="A12" s="263"/>
      <c r="B12" s="265"/>
      <c r="C12" s="267"/>
      <c r="D12" s="267"/>
      <c r="E12" s="267"/>
      <c r="F12" s="267"/>
      <c r="G12" s="269"/>
      <c r="H12" s="269"/>
      <c r="I12" s="269"/>
      <c r="J12" s="269"/>
      <c r="K12" s="269"/>
      <c r="L12" s="273"/>
      <c r="M12" s="15"/>
      <c r="O12" s="7"/>
      <c r="AA12" s="9"/>
    </row>
    <row r="13" spans="1:63" ht="6.75" customHeight="1" x14ac:dyDescent="0.2">
      <c r="A13" s="254">
        <v>16</v>
      </c>
      <c r="B13" s="255" t="str">
        <f ca="1">IF(A13=" "," ",IFERROR(VLOOKUP(LARGE(INDIRECT(VLOOKUP($A$5,'Start List'!$J$9:$Q$14,Data!AP6+4,FALSE)),A13),IF(Data!AP6=2,'Start List'!$C$15:$V$139,'Start List'!$B$15:$V$139),IF(Data!AP6=2,2,3),FALSE),"bye to the next round"))</f>
        <v>Mikeštík Martin</v>
      </c>
      <c r="C13" s="256"/>
      <c r="D13" s="256"/>
      <c r="E13" s="256"/>
      <c r="F13" s="256"/>
      <c r="G13" s="256"/>
      <c r="H13" s="256"/>
      <c r="I13" s="256"/>
      <c r="J13" s="256"/>
      <c r="K13" s="257"/>
      <c r="L13" s="261" t="str">
        <f ca="1">IFERROR(VLOOKUP(LARGE(INDIRECT(VLOOKUP($A$5,'Start List'!$J$9:$Q$14,Data!AP6+4,FALSE)),Men!A13),IF(Data!AP6=2,'Start List'!$C$15:$V$139,'Start List'!$B$15:$V$139),IF(Data!AP6=2,6,7),FALSE)," ")</f>
        <v xml:space="preserve"> </v>
      </c>
      <c r="M13" s="8"/>
      <c r="O13" s="7"/>
      <c r="AA13" s="9"/>
    </row>
    <row r="14" spans="1:63" ht="6.75" customHeight="1" thickBot="1" x14ac:dyDescent="0.25">
      <c r="A14" s="254"/>
      <c r="B14" s="258"/>
      <c r="C14" s="259"/>
      <c r="D14" s="259"/>
      <c r="E14" s="259"/>
      <c r="F14" s="259"/>
      <c r="G14" s="259"/>
      <c r="H14" s="259"/>
      <c r="I14" s="259"/>
      <c r="J14" s="259"/>
      <c r="K14" s="260"/>
      <c r="L14" s="262"/>
      <c r="M14" s="13"/>
      <c r="O14" s="263">
        <f>VLOOKUP(VLOOKUP($A$5,'Start List'!$J$9:$Q$14,8,FALSE)&amp;A7,Data!$D$2:$H$97,3,FALSE)</f>
        <v>1</v>
      </c>
      <c r="P14" s="264">
        <v>30</v>
      </c>
      <c r="Q14" s="266">
        <v>30</v>
      </c>
      <c r="R14" s="266">
        <v>30</v>
      </c>
      <c r="S14" s="266"/>
      <c r="T14" s="266"/>
      <c r="U14" s="269">
        <f>IF(P14&gt;P16,2,IF(AND(P16=P14,P14&gt;0),1,0))</f>
        <v>2</v>
      </c>
      <c r="V14" s="269">
        <f>IF(Q14&gt;Q16,2,IF(AND(Q16=Q14,Q14&gt;0),1,0))</f>
        <v>2</v>
      </c>
      <c r="W14" s="269">
        <f>IF(R14&gt;R16,2,IF(AND(R16=R14,R14&gt;0),1,0))</f>
        <v>2</v>
      </c>
      <c r="X14" s="269">
        <f>IF(S14&gt;S16,2,IF(AND(S16=S14,S14&gt;0),1,0))</f>
        <v>0</v>
      </c>
      <c r="Y14" s="269">
        <f>IF(T14&gt;T16,2,IF(AND(T16=T14,T14&gt;0),1,0))</f>
        <v>0</v>
      </c>
      <c r="Z14" s="277">
        <f>SUM(U14:Y15)</f>
        <v>6</v>
      </c>
      <c r="AA14" s="9"/>
    </row>
    <row r="15" spans="1:63" ht="6.75" customHeight="1" x14ac:dyDescent="0.2">
      <c r="A15" s="30"/>
      <c r="O15" s="263"/>
      <c r="P15" s="264"/>
      <c r="Q15" s="266"/>
      <c r="R15" s="266"/>
      <c r="S15" s="266"/>
      <c r="T15" s="266"/>
      <c r="U15" s="269"/>
      <c r="V15" s="269"/>
      <c r="W15" s="269"/>
      <c r="X15" s="269"/>
      <c r="Y15" s="269"/>
      <c r="Z15" s="277"/>
      <c r="AA15" s="9"/>
      <c r="AC15" s="254">
        <f ca="1">IF(P20="bye to the next round",O10,IF(AND(Z14&gt;Z16,Z14&gt;4),O10,IF(AND(Z16&gt;Z14,Z16&gt;4),O20,IF(AND(Z14=5,Z16=5),MIN(O10,O20)," "))))</f>
        <v>1</v>
      </c>
      <c r="AD15" s="255" t="str">
        <f ca="1">IF(AC15=" "," ",IFERROR(VLOOKUP(LARGE(INDIRECT(VLOOKUP($A$5,'Start List'!$J$9:$Q$14,Data!AP6+4,FALSE)),AC15),IF(Data!AP6=2,'Start List'!$C$15:$V$139,'Start List'!$B$15:$V$139),IF(Data!AP6=2,2,3),FALSE),"bye to the next round"))</f>
        <v>Korbař Bohumil</v>
      </c>
      <c r="AE15" s="256"/>
      <c r="AF15" s="256"/>
      <c r="AG15" s="256"/>
      <c r="AH15" s="256"/>
      <c r="AI15" s="256"/>
      <c r="AJ15" s="256"/>
      <c r="AK15" s="256"/>
      <c r="AL15" s="256"/>
      <c r="AM15" s="257"/>
      <c r="AN15" s="275" t="str">
        <f ca="1">IFERROR(VLOOKUP(LARGE(INDIRECT(VLOOKUP($A$5,'Start List'!$J$9:$Q$14,Data!AP6+4,FALSE)),Men!AC15),IF(Data!AP6=2,'Start List'!$C$15:$V$139,'Start List'!$B$15:$V$139),IF(Data!AP6=2,6,7),FALSE)," ")</f>
        <v xml:space="preserve"> </v>
      </c>
    </row>
    <row r="16" spans="1:63" ht="6.75" customHeight="1" thickBot="1" x14ac:dyDescent="0.25">
      <c r="A16" s="29"/>
      <c r="B16" s="29"/>
      <c r="C16" s="29"/>
      <c r="D16" s="29"/>
      <c r="E16" s="29"/>
      <c r="F16" s="29"/>
      <c r="G16" s="29"/>
      <c r="H16" s="29"/>
      <c r="I16" s="29"/>
      <c r="J16" s="29"/>
      <c r="K16" s="29"/>
      <c r="L16" s="29"/>
      <c r="M16" s="29"/>
      <c r="N16" s="29"/>
      <c r="O16" s="263">
        <f>VLOOKUP(VLOOKUP($A$5,'Start List'!$J$9:$Q$14,8,FALSE)&amp;A23,Data!$D$2:$H$97,3,FALSE)</f>
        <v>2</v>
      </c>
      <c r="P16" s="264">
        <v>26</v>
      </c>
      <c r="Q16" s="266">
        <v>27</v>
      </c>
      <c r="R16" s="266">
        <v>26</v>
      </c>
      <c r="S16" s="266"/>
      <c r="T16" s="266"/>
      <c r="U16" s="269">
        <f>IF(P14&lt;P16,2,IF(AND(P16=P14,P16&gt;0),1,0))</f>
        <v>0</v>
      </c>
      <c r="V16" s="269">
        <f>IF(Q14&lt;Q16,2,IF(AND(Q16=Q14,Q16&gt;0),1,0))</f>
        <v>0</v>
      </c>
      <c r="W16" s="269">
        <f>IF(R14&lt;R16,2,IF(AND(R16=R14,R16&gt;0),1,0))</f>
        <v>0</v>
      </c>
      <c r="X16" s="269">
        <f>IF(S14&lt;S16,2,IF(AND(S16=S14,S16&gt;0),1,0))</f>
        <v>0</v>
      </c>
      <c r="Y16" s="269">
        <f>IF(T14&lt;T16,2,IF(AND(T16=T14,T16&gt;0),1,0))</f>
        <v>0</v>
      </c>
      <c r="Z16" s="277">
        <f>SUM(U16:Y17)</f>
        <v>0</v>
      </c>
      <c r="AA16" s="17"/>
      <c r="AB16" s="19"/>
      <c r="AC16" s="254"/>
      <c r="AD16" s="258"/>
      <c r="AE16" s="259"/>
      <c r="AF16" s="259"/>
      <c r="AG16" s="259"/>
      <c r="AH16" s="259"/>
      <c r="AI16" s="259"/>
      <c r="AJ16" s="259"/>
      <c r="AK16" s="259"/>
      <c r="AL16" s="259"/>
      <c r="AM16" s="260"/>
      <c r="AN16" s="276"/>
      <c r="AO16" s="14"/>
    </row>
    <row r="17" spans="1:63" ht="6.75" customHeight="1" x14ac:dyDescent="0.2">
      <c r="A17" s="254">
        <v>8</v>
      </c>
      <c r="B17" s="255" t="str">
        <f ca="1">IF(A17=" "," ",IFERROR(VLOOKUP(LARGE(INDIRECT(VLOOKUP($A$5,'Start List'!$J$9:$Q$14,Data!AP6+4,FALSE)),A17),IF(Data!AP6=2,'Start List'!$C$15:$V$139,'Start List'!$B$15:$V$139),IF(Data!AP6=2,2,3),FALSE),"bye to the next round"))</f>
        <v>Fran Županić</v>
      </c>
      <c r="C17" s="256"/>
      <c r="D17" s="256"/>
      <c r="E17" s="256"/>
      <c r="F17" s="256"/>
      <c r="G17" s="256"/>
      <c r="H17" s="256"/>
      <c r="I17" s="256"/>
      <c r="J17" s="256"/>
      <c r="K17" s="257"/>
      <c r="L17" s="261" t="str">
        <f ca="1">IFERROR(VLOOKUP(LARGE(INDIRECT(VLOOKUP($A$5,'Start List'!$J$9:$Q$14,Data!AP6+4,FALSE)),Men!A17),IF(Data!AP6=2,'Start List'!$C$15:$V$139,'Start List'!$B$15:$V$139),IF(Data!AP6=2,6,7),FALSE)," ")</f>
        <v xml:space="preserve"> </v>
      </c>
      <c r="M17" s="2"/>
      <c r="N17" s="5"/>
      <c r="O17" s="263"/>
      <c r="P17" s="264"/>
      <c r="Q17" s="266"/>
      <c r="R17" s="266"/>
      <c r="S17" s="266"/>
      <c r="T17" s="266"/>
      <c r="U17" s="269"/>
      <c r="V17" s="269"/>
      <c r="W17" s="269"/>
      <c r="X17" s="269"/>
      <c r="Y17" s="269"/>
      <c r="Z17" s="277"/>
      <c r="AA17" s="18"/>
      <c r="AB17" s="1"/>
      <c r="AO17" s="9"/>
      <c r="AQ17" s="278" t="str">
        <f>VLOOKUP("GMM",Translation!$A$1:$E$57,Data!$AP$2,FALSE)</f>
        <v>Gold Medal Match</v>
      </c>
      <c r="AR17" s="278"/>
      <c r="AS17" s="278"/>
      <c r="AT17" s="278"/>
      <c r="AU17" s="278"/>
      <c r="AV17" s="278"/>
      <c r="AW17" s="278"/>
      <c r="AX17" s="278"/>
      <c r="AY17" s="278"/>
      <c r="AZ17" s="278"/>
      <c r="BA17" s="278"/>
      <c r="BB17" s="278"/>
    </row>
    <row r="18" spans="1:63" ht="6.75" customHeight="1" thickBot="1" x14ac:dyDescent="0.25">
      <c r="A18" s="270"/>
      <c r="B18" s="258"/>
      <c r="C18" s="259"/>
      <c r="D18" s="259"/>
      <c r="E18" s="259"/>
      <c r="F18" s="259"/>
      <c r="G18" s="259"/>
      <c r="H18" s="259"/>
      <c r="I18" s="259"/>
      <c r="J18" s="259"/>
      <c r="K18" s="260"/>
      <c r="L18" s="262"/>
      <c r="M18" s="14"/>
      <c r="AA18" s="9"/>
      <c r="AO18" s="9"/>
      <c r="AQ18" s="278"/>
      <c r="AR18" s="278"/>
      <c r="AS18" s="278"/>
      <c r="AT18" s="278"/>
      <c r="AU18" s="278"/>
      <c r="AV18" s="278"/>
      <c r="AW18" s="278"/>
      <c r="AX18" s="278"/>
      <c r="AY18" s="278"/>
      <c r="AZ18" s="278"/>
      <c r="BA18" s="278"/>
      <c r="BB18" s="278"/>
    </row>
    <row r="19" spans="1:63" ht="6.75" customHeight="1" thickBot="1" x14ac:dyDescent="0.25">
      <c r="A19" s="263">
        <f>VLOOKUP(VLOOKUP($A$5,'Start List'!$J$9:$Q$14,8,FALSE)&amp;A17,Data!$D$2:$H$97,2,FALSE)</f>
        <v>3</v>
      </c>
      <c r="B19" s="274">
        <v>25</v>
      </c>
      <c r="C19" s="271">
        <v>22</v>
      </c>
      <c r="D19" s="271">
        <v>26</v>
      </c>
      <c r="E19" s="271"/>
      <c r="F19" s="271"/>
      <c r="G19" s="268">
        <f>IF(B19&gt;B21,2,IF(AND(B21=B19,B19&gt;0),1,0))</f>
        <v>0</v>
      </c>
      <c r="H19" s="268">
        <f>IF(C19&gt;C21,2,IF(AND(C21=C19,C19&gt;0),1,0))</f>
        <v>0</v>
      </c>
      <c r="I19" s="268">
        <f>IF(D19&gt;D21,2,IF(AND(D21=D19,D19&gt;0),1,0))</f>
        <v>0</v>
      </c>
      <c r="J19" s="268">
        <f>IF(E19&gt;E21,2,IF(AND(E21=E19,E19&gt;0),1,0))</f>
        <v>0</v>
      </c>
      <c r="K19" s="268">
        <f>IF(F19&gt;F21,2,IF(AND(F21=F19,F19&gt;0),1,0))</f>
        <v>0</v>
      </c>
      <c r="L19" s="272">
        <f>SUM(G19:K20)</f>
        <v>0</v>
      </c>
      <c r="M19" s="9"/>
      <c r="AA19" s="9"/>
      <c r="AO19" s="9"/>
    </row>
    <row r="20" spans="1:63" ht="6.75" customHeight="1" x14ac:dyDescent="0.2">
      <c r="A20" s="263"/>
      <c r="B20" s="264"/>
      <c r="C20" s="266"/>
      <c r="D20" s="266"/>
      <c r="E20" s="266"/>
      <c r="F20" s="266"/>
      <c r="G20" s="269"/>
      <c r="H20" s="269"/>
      <c r="I20" s="269"/>
      <c r="J20" s="269"/>
      <c r="K20" s="269"/>
      <c r="L20" s="273"/>
      <c r="M20" s="15"/>
      <c r="O20" s="254">
        <f ca="1">IF(B23="bye to the next round",A17,IF(AND(L19&gt;L21,L19&gt;4),A17,IF(AND(L21&gt;L19,L21&gt;4),A23,IF(AND(L19=5,L21=5),MIN(A17,A23)," "))))</f>
        <v>9</v>
      </c>
      <c r="P20" s="255" t="str">
        <f ca="1">IF(O20=" "," ",IFERROR(VLOOKUP(LARGE(INDIRECT(VLOOKUP($A$5,'Start List'!$J$9:$Q$14,Data!AP6+4,FALSE)),O20),IF(Data!AP6=2,'Start List'!$C$15:$V$139,'Start List'!$B$15:$V$139),IF(Data!AP6=2,2,3),FALSE),"bye to the next round"))</f>
        <v>Mátrai István</v>
      </c>
      <c r="Q20" s="256"/>
      <c r="R20" s="256"/>
      <c r="S20" s="256"/>
      <c r="T20" s="256"/>
      <c r="U20" s="256"/>
      <c r="V20" s="256"/>
      <c r="W20" s="256"/>
      <c r="X20" s="256"/>
      <c r="Y20" s="257"/>
      <c r="Z20" s="261" t="str">
        <f ca="1">IFERROR(VLOOKUP(LARGE(INDIRECT(VLOOKUP($A$5,'Start List'!$J$9:$Q$14,Data!AP6+4,FALSE)),Men!O20),IF(Data!AP6=2,'Start List'!$C$15:$V$139,'Start List'!$B$15:$V$139),IF(Data!AP6=2,6,7),FALSE)," ")</f>
        <v xml:space="preserve"> </v>
      </c>
      <c r="AA20" s="8"/>
      <c r="AO20" s="9"/>
      <c r="AQ20" s="254">
        <f ca="1">IF(AND(AN24&gt;AN26,AN24&gt;4),AC15,IF(AND(AN26&gt;AN24,AN26&gt;4),AC35,IF(AND(AN24=5,AN26=5),MIN(AC15,AC35)," ")))</f>
        <v>1</v>
      </c>
      <c r="AR20" s="255" t="str">
        <f ca="1">IF(AQ20=" "," ",IFERROR(VLOOKUP(LARGE(INDIRECT(VLOOKUP($A$5,'Start List'!$J$9:$Q$14,Data!AP6+4,FALSE)),AQ20),IF(Data!AP6=2,'Start List'!$C$15:$V$139,'Start List'!$B$15:$V$139),IF(Data!AP6=2,2,3),FALSE),"bye to the next round"))</f>
        <v>Korbař Bohumil</v>
      </c>
      <c r="AS20" s="256"/>
      <c r="AT20" s="256"/>
      <c r="AU20" s="256"/>
      <c r="AV20" s="256"/>
      <c r="AW20" s="256"/>
      <c r="AX20" s="256"/>
      <c r="AY20" s="256"/>
      <c r="AZ20" s="256"/>
      <c r="BA20" s="257"/>
      <c r="BB20" s="261" t="str">
        <f ca="1">IFERROR(VLOOKUP(LARGE(INDIRECT(VLOOKUP($A$5,'Start List'!$J$9:$Q$14,Data!AP6+4,FALSE)),Men!AQ20),IF(Data!AP6=2,'Start List'!$C$15:$V$139,'Start List'!$B$15:$V$139),IF(Data!AP6=2,6,7),FALSE)," ")</f>
        <v xml:space="preserve"> </v>
      </c>
    </row>
    <row r="21" spans="1:63" ht="6.75" customHeight="1" thickBot="1" x14ac:dyDescent="0.25">
      <c r="A21" s="263">
        <f>VLOOKUP(VLOOKUP($A$5,'Start List'!$J$9:$Q$14,8,FALSE)&amp;A23,Data!$D$2:$H$97,2,FALSE)</f>
        <v>4</v>
      </c>
      <c r="B21" s="264">
        <v>26</v>
      </c>
      <c r="C21" s="266">
        <v>26</v>
      </c>
      <c r="D21" s="266">
        <v>27</v>
      </c>
      <c r="E21" s="266"/>
      <c r="F21" s="266"/>
      <c r="G21" s="268">
        <f>IF(B19&lt;B21,2,IF(AND(B21=B19,B21&gt;0),1,0))</f>
        <v>2</v>
      </c>
      <c r="H21" s="268">
        <f>IF(C19&lt;C21,2,IF(AND(C21=C19,C21&gt;0),1,0))</f>
        <v>2</v>
      </c>
      <c r="I21" s="268">
        <f>IF(D19&lt;D21,2,IF(AND(D21=D19,D21&gt;0),1,0))</f>
        <v>2</v>
      </c>
      <c r="J21" s="268">
        <f>IF(E19&lt;E21,2,IF(AND(E21=E19,E21&gt;0),1,0))</f>
        <v>0</v>
      </c>
      <c r="K21" s="268">
        <f>IF(F19&lt;F21,2,IF(AND(F21=F19,F21&gt;0),1,0))</f>
        <v>0</v>
      </c>
      <c r="L21" s="272">
        <f>SUM(G21:K22)</f>
        <v>6</v>
      </c>
      <c r="M21" s="15"/>
      <c r="N21" s="10"/>
      <c r="O21" s="254"/>
      <c r="P21" s="258"/>
      <c r="Q21" s="259"/>
      <c r="R21" s="259"/>
      <c r="S21" s="259"/>
      <c r="T21" s="259"/>
      <c r="U21" s="259"/>
      <c r="V21" s="259"/>
      <c r="W21" s="259"/>
      <c r="X21" s="259"/>
      <c r="Y21" s="260"/>
      <c r="Z21" s="262"/>
      <c r="AA21" s="13"/>
      <c r="AO21" s="9"/>
      <c r="AQ21" s="254"/>
      <c r="AR21" s="258"/>
      <c r="AS21" s="259"/>
      <c r="AT21" s="259"/>
      <c r="AU21" s="259"/>
      <c r="AV21" s="259"/>
      <c r="AW21" s="259"/>
      <c r="AX21" s="259"/>
      <c r="AY21" s="259"/>
      <c r="AZ21" s="259"/>
      <c r="BA21" s="260"/>
      <c r="BB21" s="262"/>
      <c r="BC21" s="14"/>
    </row>
    <row r="22" spans="1:63" ht="6.75" customHeight="1" thickBot="1" x14ac:dyDescent="0.25">
      <c r="A22" s="263"/>
      <c r="B22" s="265"/>
      <c r="C22" s="267"/>
      <c r="D22" s="267"/>
      <c r="E22" s="267"/>
      <c r="F22" s="267"/>
      <c r="G22" s="269"/>
      <c r="H22" s="269"/>
      <c r="I22" s="269"/>
      <c r="J22" s="269"/>
      <c r="K22" s="269"/>
      <c r="L22" s="273"/>
      <c r="M22" s="15"/>
      <c r="O22" s="7"/>
      <c r="AO22" s="9"/>
      <c r="BC22" s="9"/>
    </row>
    <row r="23" spans="1:63" ht="6.75" customHeight="1" x14ac:dyDescent="0.2">
      <c r="A23" s="254">
        <v>9</v>
      </c>
      <c r="B23" s="255" t="str">
        <f ca="1">IF(A23=" "," ",IFERROR(VLOOKUP(LARGE(INDIRECT(VLOOKUP($A$5,'Start List'!$J$9:$Q$14,Data!AP6+4,FALSE)),A23),IF(Data!AP6=2,'Start List'!$C$15:$V$139,'Start List'!$B$15:$V$139),IF(Data!AP6=2,2,3),FALSE),"bye to the next round"))</f>
        <v>Mátrai István</v>
      </c>
      <c r="C23" s="256"/>
      <c r="D23" s="256"/>
      <c r="E23" s="256"/>
      <c r="F23" s="256"/>
      <c r="G23" s="256"/>
      <c r="H23" s="256"/>
      <c r="I23" s="256"/>
      <c r="J23" s="256"/>
      <c r="K23" s="257"/>
      <c r="L23" s="261" t="str">
        <f ca="1">IFERROR(VLOOKUP(LARGE(INDIRECT(VLOOKUP($A$5,'Start List'!$J$9:$Q$14,Data!AP6+4,FALSE)),Men!A23),IF(Data!AP6=2,'Start List'!$C$15:$V$139,'Start List'!$B$15:$V$139),IF(Data!AP6=2,6,7),FALSE)," ")</f>
        <v xml:space="preserve"> </v>
      </c>
      <c r="M23" s="8"/>
      <c r="O23" s="7"/>
      <c r="AO23" s="9"/>
      <c r="BC23" s="9"/>
    </row>
    <row r="24" spans="1:63" ht="6.75" customHeight="1" thickBot="1" x14ac:dyDescent="0.25">
      <c r="A24" s="254"/>
      <c r="B24" s="258"/>
      <c r="C24" s="259"/>
      <c r="D24" s="259"/>
      <c r="E24" s="259"/>
      <c r="F24" s="259"/>
      <c r="G24" s="259"/>
      <c r="H24" s="259"/>
      <c r="I24" s="259"/>
      <c r="J24" s="259"/>
      <c r="K24" s="260"/>
      <c r="L24" s="262"/>
      <c r="M24" s="13"/>
      <c r="AC24" s="263">
        <f>VLOOKUP(VLOOKUP($A$5,'Start List'!$J$9:$Q$14,8,FALSE)&amp;A7,Data!$D$2:$H$97,4,FALSE)</f>
        <v>5</v>
      </c>
      <c r="AD24" s="266">
        <v>29</v>
      </c>
      <c r="AE24" s="266">
        <v>29</v>
      </c>
      <c r="AF24" s="266">
        <v>30</v>
      </c>
      <c r="AG24" s="266"/>
      <c r="AH24" s="266"/>
      <c r="AI24" s="269">
        <f>IF(AD24&gt;AD26,2,IF(AND(AD26=AD24,AD24&gt;0),1,0))</f>
        <v>2</v>
      </c>
      <c r="AJ24" s="269">
        <f>IF(AE24&gt;AE26,2,IF(AND(AE26=AE24,AE24&gt;0),1,0))</f>
        <v>1</v>
      </c>
      <c r="AK24" s="269">
        <f>IF(AF24&gt;AF26,2,IF(AND(AF26=AF24,AF24&gt;0),1,0))</f>
        <v>2</v>
      </c>
      <c r="AL24" s="269">
        <f>IF(AG24&gt;AG26,2,IF(AND(AG26=AG24,AG24&gt;0),1,0))</f>
        <v>0</v>
      </c>
      <c r="AM24" s="269">
        <f>IF(AH24&gt;AH26,2,IF(AND(AH26=AH24,AH24&gt;0),1,0))</f>
        <v>0</v>
      </c>
      <c r="AN24" s="277">
        <f>SUM(AI24:AM25)</f>
        <v>5</v>
      </c>
      <c r="AO24" s="9"/>
      <c r="AQ24" s="263">
        <f>VLOOKUP(VLOOKUP($A$5,'Start List'!$J$9:$Q$14,8,FALSE)&amp;A7,Data!$D$2:$H$97,5,FALSE)</f>
        <v>10</v>
      </c>
      <c r="AR24" s="266">
        <v>28</v>
      </c>
      <c r="AS24" s="266">
        <v>29</v>
      </c>
      <c r="AT24" s="266">
        <v>28</v>
      </c>
      <c r="AU24" s="266">
        <v>28</v>
      </c>
      <c r="AV24" s="266">
        <v>28</v>
      </c>
      <c r="AW24" s="269">
        <f>IF(AR24&gt;AR26,2,IF(AND(AR26=AR24,AR24&gt;0),1,0))</f>
        <v>0</v>
      </c>
      <c r="AX24" s="269">
        <f>IF(AS24&gt;AS26,2,IF(AND(AS26=AS24,AS24&gt;0),1,0))</f>
        <v>1</v>
      </c>
      <c r="AY24" s="269">
        <f>IF(AT24&gt;AT26,2,IF(AND(AT26=AT24,AT24&gt;0),1,0))</f>
        <v>1</v>
      </c>
      <c r="AZ24" s="269">
        <f>IF(AU24&gt;AU26,2,IF(AND(AU26=AU24,AU24&gt;0),1,0))</f>
        <v>2</v>
      </c>
      <c r="BA24" s="269">
        <f>IF(AV24&gt;AV26,2,IF(AND(AV26=AV24,AV24&gt;0),1,0))</f>
        <v>1</v>
      </c>
      <c r="BB24" s="277">
        <f>SUM(AW24:BA25)</f>
        <v>5</v>
      </c>
      <c r="BC24" s="9"/>
    </row>
    <row r="25" spans="1:63" ht="6.75" customHeight="1" x14ac:dyDescent="0.2">
      <c r="A25" s="30"/>
      <c r="AC25" s="263"/>
      <c r="AD25" s="266"/>
      <c r="AE25" s="266"/>
      <c r="AF25" s="266"/>
      <c r="AG25" s="266"/>
      <c r="AH25" s="266"/>
      <c r="AI25" s="269"/>
      <c r="AJ25" s="269"/>
      <c r="AK25" s="269"/>
      <c r="AL25" s="269"/>
      <c r="AM25" s="269"/>
      <c r="AN25" s="277"/>
      <c r="AO25" s="9"/>
      <c r="AQ25" s="263"/>
      <c r="AR25" s="266"/>
      <c r="AS25" s="266"/>
      <c r="AT25" s="266"/>
      <c r="AU25" s="266"/>
      <c r="AV25" s="266"/>
      <c r="AW25" s="269"/>
      <c r="AX25" s="269"/>
      <c r="AY25" s="269"/>
      <c r="AZ25" s="269"/>
      <c r="BA25" s="269"/>
      <c r="BB25" s="277"/>
      <c r="BC25" s="9"/>
      <c r="BE25" s="254">
        <f ca="1">IF(AND(BB24&gt;BB26,BB24&gt;4),AQ20,IF(AND(BB26&gt;BB24,BB26&gt;4),AQ30,IF(AND(BB24=5,BB26=5),MIN(AQ20,AQ30)," ")))</f>
        <v>1</v>
      </c>
      <c r="BF25" s="279" t="str">
        <f ca="1">IF(BE25=" "," ",IFERROR(VLOOKUP(LARGE(INDIRECT(VLOOKUP($A$5,'Start List'!$J$9:$Q$14,Data!AP6+4,FALSE)),BE25),IF(Data!AP6=2,'Start List'!$C$15:$V$139,'Start List'!$B$15:$V$139),IF(Data!AP6=2,2,3),FALSE),"bye to the next round"))</f>
        <v>Korbař Bohumil</v>
      </c>
      <c r="BG25" s="256"/>
      <c r="BH25" s="256"/>
      <c r="BI25" s="256"/>
      <c r="BJ25" s="257"/>
      <c r="BK25" s="261" t="str">
        <f ca="1">IFERROR(VLOOKUP(LARGE(INDIRECT(VLOOKUP($A$5,'Start List'!$J$9:$Q$14,Data!AP6+4,FALSE)),BE25),IF(Data!AP6=2,'Start List'!$C$15:$V$139,'Start List'!$B$15:$V$139),IF(Data!AP6=2,6,7),FALSE)," ")</f>
        <v xml:space="preserve"> </v>
      </c>
    </row>
    <row r="26" spans="1:63" ht="6.75" customHeight="1" thickBot="1" x14ac:dyDescent="0.2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63">
        <f>VLOOKUP(VLOOKUP($A$5,'Start List'!$J$9:$Q$14,8,FALSE)&amp;A43,Data!$D$2:$H$97,4,FALSE)</f>
        <v>6</v>
      </c>
      <c r="AD26" s="266">
        <v>28</v>
      </c>
      <c r="AE26" s="266">
        <v>29</v>
      </c>
      <c r="AF26" s="266">
        <v>28</v>
      </c>
      <c r="AG26" s="266"/>
      <c r="AH26" s="266"/>
      <c r="AI26" s="269">
        <f>IF(AD24&lt;AD26,2,IF(AND(AD26=AD24,AD26&gt;0),1,0))</f>
        <v>0</v>
      </c>
      <c r="AJ26" s="269">
        <f>IF(AE24&lt;AE26,2,IF(AND(AE26=AE24,AE26&gt;0),1,0))</f>
        <v>1</v>
      </c>
      <c r="AK26" s="269">
        <f>IF(AF24&lt;AF26,2,IF(AND(AF26=AF24,AF26&gt;0),1,0))</f>
        <v>0</v>
      </c>
      <c r="AL26" s="269">
        <f>IF(AG24&lt;AG26,2,IF(AND(AG26=AG24,AG26&gt;0),1,0))</f>
        <v>0</v>
      </c>
      <c r="AM26" s="269">
        <f>IF(AH24&lt;AH26,2,IF(AND(AH26=AH24,AH26&gt;0),1,0))</f>
        <v>0</v>
      </c>
      <c r="AN26" s="277">
        <f>SUM(AI26:AM27)</f>
        <v>1</v>
      </c>
      <c r="AO26" s="9"/>
      <c r="AP26" s="24"/>
      <c r="AQ26" s="263">
        <f>VLOOKUP(VLOOKUP($A$5,'Start List'!$J$9:$Q$14,8,FALSE)&amp;A47,Data!$D$2:$H$97,5,FALSE)</f>
        <v>11</v>
      </c>
      <c r="AR26" s="266">
        <v>29</v>
      </c>
      <c r="AS26" s="266">
        <v>29</v>
      </c>
      <c r="AT26" s="266">
        <v>28</v>
      </c>
      <c r="AU26" s="266">
        <v>27</v>
      </c>
      <c r="AV26" s="266">
        <v>28</v>
      </c>
      <c r="AW26" s="269">
        <f>IF(AR24&lt;AR26,2,IF(AND(AR26=AR24,AR26&gt;0),1,0))</f>
        <v>2</v>
      </c>
      <c r="AX26" s="269">
        <f>IF(AS24&lt;AS26,2,IF(AND(AS26=AS24,AS26&gt;0),1,0))</f>
        <v>1</v>
      </c>
      <c r="AY26" s="269">
        <f>IF(AT24&lt;AT26,2,IF(AND(AT26=AT24,AT26&gt;0),1,0))</f>
        <v>1</v>
      </c>
      <c r="AZ26" s="269">
        <f>IF(AU24&lt;AU26,2,IF(AND(AU26=AU24,AU26&gt;0),1,0))</f>
        <v>0</v>
      </c>
      <c r="BA26" s="269">
        <f>IF(AV24&lt;AV26,2,IF(AND(AV26=AV24,AV26&gt;0),1,0))</f>
        <v>1</v>
      </c>
      <c r="BB26" s="277">
        <f>SUM(AW26:BA27)</f>
        <v>5</v>
      </c>
      <c r="BC26" s="9"/>
      <c r="BD26" s="25"/>
      <c r="BE26" s="254"/>
      <c r="BF26" s="258"/>
      <c r="BG26" s="259"/>
      <c r="BH26" s="259"/>
      <c r="BI26" s="259"/>
      <c r="BJ26" s="260"/>
      <c r="BK26" s="262"/>
    </row>
    <row r="27" spans="1:63" ht="6.75" customHeight="1" x14ac:dyDescent="0.2">
      <c r="A27" s="254">
        <v>4</v>
      </c>
      <c r="B27" s="255" t="str">
        <f ca="1">IF(A27=" "," ",IFERROR(VLOOKUP(LARGE(INDIRECT(VLOOKUP($A$5,'Start List'!$J$9:$Q$14,Data!AP6+4,FALSE)),A27),IF(Data!AP6=2,'Start List'!$C$15:$V$139,'Start List'!$B$15:$V$139),IF(Data!AP6=2,2,3),FALSE),"bye to the next round"))</f>
        <v>Sváb Sándor</v>
      </c>
      <c r="C27" s="256"/>
      <c r="D27" s="256"/>
      <c r="E27" s="256"/>
      <c r="F27" s="256"/>
      <c r="G27" s="256"/>
      <c r="H27" s="256"/>
      <c r="I27" s="256"/>
      <c r="J27" s="256"/>
      <c r="K27" s="257"/>
      <c r="L27" s="261" t="str">
        <f ca="1">IFERROR(VLOOKUP(LARGE(INDIRECT(VLOOKUP($A$5,'Start List'!$J$9:$Q$14,Data!AP6+4,FALSE)),Men!A27),IF(Data!AP6=2,'Start List'!$C$15:$V$139,'Start List'!$B$15:$V$139),IF(Data!AP6=2,6,7),FALSE)," ")</f>
        <v xml:space="preserve"> </v>
      </c>
      <c r="M27" s="2"/>
      <c r="N27" s="5"/>
      <c r="O27" s="11"/>
      <c r="P27" s="1"/>
      <c r="Q27" s="1"/>
      <c r="R27" s="1"/>
      <c r="S27" s="1"/>
      <c r="T27" s="1"/>
      <c r="U27" s="1"/>
      <c r="V27" s="1"/>
      <c r="W27" s="1"/>
      <c r="X27" s="1"/>
      <c r="Y27" s="1"/>
      <c r="Z27" s="1"/>
      <c r="AA27" s="1"/>
      <c r="AB27" s="1"/>
      <c r="AC27" s="263"/>
      <c r="AD27" s="266"/>
      <c r="AE27" s="266"/>
      <c r="AF27" s="266"/>
      <c r="AG27" s="266"/>
      <c r="AH27" s="266"/>
      <c r="AI27" s="269"/>
      <c r="AJ27" s="269"/>
      <c r="AK27" s="269"/>
      <c r="AL27" s="269"/>
      <c r="AM27" s="269"/>
      <c r="AN27" s="277"/>
      <c r="AO27" s="9"/>
      <c r="AQ27" s="263"/>
      <c r="AR27" s="266"/>
      <c r="AS27" s="266"/>
      <c r="AT27" s="266"/>
      <c r="AU27" s="266"/>
      <c r="AV27" s="266"/>
      <c r="AW27" s="269"/>
      <c r="AX27" s="269"/>
      <c r="AY27" s="269"/>
      <c r="AZ27" s="269"/>
      <c r="BA27" s="269"/>
      <c r="BB27" s="277"/>
      <c r="BC27" s="9"/>
    </row>
    <row r="28" spans="1:63" ht="6.75" customHeight="1" thickBot="1" x14ac:dyDescent="0.25">
      <c r="A28" s="270"/>
      <c r="B28" s="258"/>
      <c r="C28" s="259"/>
      <c r="D28" s="259"/>
      <c r="E28" s="259"/>
      <c r="F28" s="259"/>
      <c r="G28" s="259"/>
      <c r="H28" s="259"/>
      <c r="I28" s="259"/>
      <c r="J28" s="259"/>
      <c r="K28" s="260"/>
      <c r="L28" s="262"/>
      <c r="M28" s="14"/>
      <c r="AO28" s="9"/>
      <c r="BC28" s="9"/>
    </row>
    <row r="29" spans="1:63" ht="6.75" customHeight="1" thickBot="1" x14ac:dyDescent="0.25">
      <c r="A29" s="263">
        <f>VLOOKUP(VLOOKUP($A$5,'Start List'!$J$9:$Q$14,8,FALSE)&amp;A27,Data!$D$2:$H$97,2,FALSE)</f>
        <v>5</v>
      </c>
      <c r="B29" s="274">
        <v>26</v>
      </c>
      <c r="C29" s="271">
        <v>29</v>
      </c>
      <c r="D29" s="271">
        <v>28</v>
      </c>
      <c r="E29" s="271">
        <v>29</v>
      </c>
      <c r="F29" s="271"/>
      <c r="G29" s="268">
        <f>IF(B29&gt;B31,2,IF(AND(B31=B29,B29&gt;0),1,0))</f>
        <v>1</v>
      </c>
      <c r="H29" s="268">
        <f>IF(C29&gt;C31,2,IF(AND(C31=C29,C29&gt;0),1,0))</f>
        <v>2</v>
      </c>
      <c r="I29" s="268">
        <f>IF(D29&gt;D31,2,IF(AND(D31=D29,D29&gt;0),1,0))</f>
        <v>2</v>
      </c>
      <c r="J29" s="268">
        <f>IF(E29&gt;E31,2,IF(AND(E31=E29,E29&gt;0),1,0))</f>
        <v>2</v>
      </c>
      <c r="K29" s="268">
        <f>IF(F29&gt;F31,2,IF(AND(F31=F29,F29&gt;0),1,0))</f>
        <v>0</v>
      </c>
      <c r="L29" s="272">
        <f>SUM(G29:K30)</f>
        <v>7</v>
      </c>
      <c r="M29" s="9"/>
      <c r="AO29" s="9"/>
      <c r="AQ29" s="22"/>
      <c r="BC29" s="9"/>
    </row>
    <row r="30" spans="1:63" ht="6.75" customHeight="1" x14ac:dyDescent="0.2">
      <c r="A30" s="263"/>
      <c r="B30" s="264"/>
      <c r="C30" s="266"/>
      <c r="D30" s="266"/>
      <c r="E30" s="266"/>
      <c r="F30" s="266"/>
      <c r="G30" s="269"/>
      <c r="H30" s="269"/>
      <c r="I30" s="269"/>
      <c r="J30" s="269"/>
      <c r="K30" s="269"/>
      <c r="L30" s="273"/>
      <c r="M30" s="15"/>
      <c r="O30" s="254">
        <f ca="1">IF(B33="bye to the next round",A27,IF(AND(L29&gt;L31,L29&gt;4),A27,IF(AND(L31&gt;L29,L31&gt;4),A33,IF(AND(L29=5,L31=5),MIN(A27,A33)," "))))</f>
        <v>4</v>
      </c>
      <c r="P30" s="255" t="str">
        <f ca="1">IF(O30=" "," ",IFERROR(VLOOKUP(LARGE(INDIRECT(VLOOKUP($A$5,'Start List'!$J$9:$Q$14,Data!AP6+4,FALSE)),O30),IF(Data!AP6=2,'Start List'!$C$15:$V$139,'Start List'!$B$15:$V$139),IF(Data!AP6=2,2,3),FALSE),"bye to the next round"))</f>
        <v>Sváb Sándor</v>
      </c>
      <c r="Q30" s="256"/>
      <c r="R30" s="256"/>
      <c r="S30" s="256"/>
      <c r="T30" s="256"/>
      <c r="U30" s="256"/>
      <c r="V30" s="256"/>
      <c r="W30" s="256"/>
      <c r="X30" s="256"/>
      <c r="Y30" s="257"/>
      <c r="Z30" s="261" t="str">
        <f ca="1">IFERROR(VLOOKUP(LARGE(INDIRECT(VLOOKUP($A$5,'Start List'!$J$9:$Q$14,Data!AP6+4,FALSE)),Men!O30),IF(Data!AP6=2,'Start List'!$C$15:$V$139,'Start List'!$B$15:$V$139),IF(Data!AP6=2,6,7),FALSE)," ")</f>
        <v xml:space="preserve"> </v>
      </c>
      <c r="AA30" s="16"/>
      <c r="AO30" s="9"/>
      <c r="AQ30" s="254">
        <f ca="1">IF(AND(AN64&gt;AN66,AN64&gt;4),AC55,IF(AND(AN66&gt;AN64,AN66&gt;4),AC75,IF(AND(AN64=5,AN66=5),MIN(AC55,AC75)," ")))</f>
        <v>2</v>
      </c>
      <c r="AR30" s="255" t="str">
        <f ca="1">IF(AQ30=" "," ",IFERROR(VLOOKUP(LARGE(INDIRECT(VLOOKUP($A$5,'Start List'!$J$9:$Q$14,Data!AP6+4,FALSE)),AQ30),IF(Data!AP6=2,'Start List'!$C$15:$V$139,'Start List'!$B$15:$V$139),IF(Data!AP6=2,2,3),FALSE),"bye to the next round"))</f>
        <v>Pereglin Domagoj</v>
      </c>
      <c r="AS30" s="256"/>
      <c r="AT30" s="256"/>
      <c r="AU30" s="256"/>
      <c r="AV30" s="256"/>
      <c r="AW30" s="256"/>
      <c r="AX30" s="256"/>
      <c r="AY30" s="256"/>
      <c r="AZ30" s="256"/>
      <c r="BA30" s="257"/>
      <c r="BB30" s="261" t="str">
        <f ca="1">IFERROR(VLOOKUP(LARGE(INDIRECT(VLOOKUP($A$5,'Start List'!$J$9:$Q$14,Data!AP6+4,FALSE)),Men!AQ30),IF(Data!AP6=2,'Start List'!$C$15:$V$139,'Start List'!$B$15:$V$139),IF(Data!AP6=2,6,7),FALSE)," ")</f>
        <v xml:space="preserve"> </v>
      </c>
      <c r="BC30" s="20"/>
    </row>
    <row r="31" spans="1:63" ht="6.75" customHeight="1" thickBot="1" x14ac:dyDescent="0.25">
      <c r="A31" s="263">
        <f>VLOOKUP(VLOOKUP($A$5,'Start List'!$J$9:$Q$14,8,FALSE)&amp;A33,Data!$D$2:$H$97,2,FALSE)</f>
        <v>6</v>
      </c>
      <c r="B31" s="264">
        <v>26</v>
      </c>
      <c r="C31" s="266">
        <v>26</v>
      </c>
      <c r="D31" s="266">
        <v>23</v>
      </c>
      <c r="E31" s="266">
        <v>22</v>
      </c>
      <c r="F31" s="266"/>
      <c r="G31" s="268">
        <f>IF(B29&lt;B31,2,IF(AND(B31=B29,B31&gt;0),1,0))</f>
        <v>1</v>
      </c>
      <c r="H31" s="268">
        <f>IF(C29&lt;C31,2,IF(AND(C31=C29,C31&gt;0),1,0))</f>
        <v>0</v>
      </c>
      <c r="I31" s="268">
        <f>IF(D29&lt;D31,2,IF(AND(D31=D29,D31&gt;0),1,0))</f>
        <v>0</v>
      </c>
      <c r="J31" s="268">
        <f>IF(E29&lt;E31,2,IF(AND(E31=E29,E31&gt;0),1,0))</f>
        <v>0</v>
      </c>
      <c r="K31" s="268">
        <f>IF(F29&lt;F31,2,IF(AND(F31=F29,F31&gt;0),1,0))</f>
        <v>0</v>
      </c>
      <c r="L31" s="272">
        <f>SUM(G31:K32)</f>
        <v>1</v>
      </c>
      <c r="M31" s="15"/>
      <c r="N31" s="10"/>
      <c r="O31" s="254"/>
      <c r="P31" s="258"/>
      <c r="Q31" s="259"/>
      <c r="R31" s="259"/>
      <c r="S31" s="259"/>
      <c r="T31" s="259"/>
      <c r="U31" s="259"/>
      <c r="V31" s="259"/>
      <c r="W31" s="259"/>
      <c r="X31" s="259"/>
      <c r="Y31" s="260"/>
      <c r="Z31" s="262"/>
      <c r="AA31" s="12"/>
      <c r="AO31" s="9"/>
      <c r="AQ31" s="254"/>
      <c r="AR31" s="258"/>
      <c r="AS31" s="259"/>
      <c r="AT31" s="259"/>
      <c r="AU31" s="259"/>
      <c r="AV31" s="259"/>
      <c r="AW31" s="259"/>
      <c r="AX31" s="259"/>
      <c r="AY31" s="259"/>
      <c r="AZ31" s="259"/>
      <c r="BA31" s="260"/>
      <c r="BB31" s="262"/>
      <c r="BC31" s="23"/>
    </row>
    <row r="32" spans="1:63" ht="6.75" customHeight="1" thickBot="1" x14ac:dyDescent="0.25">
      <c r="A32" s="263"/>
      <c r="B32" s="265"/>
      <c r="C32" s="267"/>
      <c r="D32" s="267"/>
      <c r="E32" s="267"/>
      <c r="F32" s="267"/>
      <c r="G32" s="269"/>
      <c r="H32" s="269"/>
      <c r="I32" s="269"/>
      <c r="J32" s="269"/>
      <c r="K32" s="269"/>
      <c r="L32" s="273"/>
      <c r="M32" s="15"/>
      <c r="O32" s="7"/>
      <c r="AA32" s="9"/>
      <c r="AO32" s="9"/>
      <c r="BC32" s="23"/>
    </row>
    <row r="33" spans="1:63" ht="6.75" customHeight="1" x14ac:dyDescent="0.2">
      <c r="A33" s="254">
        <v>13</v>
      </c>
      <c r="B33" s="255" t="str">
        <f ca="1">IF(A33=" "," ",IFERROR(VLOOKUP(LARGE(INDIRECT(VLOOKUP($A$5,'Start List'!$J$9:$Q$14,Data!AP6+4,FALSE)),A33),IF(Data!AP6=2,'Start List'!$C$15:$V$139,'Start List'!$B$15:$V$139),IF(Data!AP6=2,2,3),FALSE),"bye to the next round"))</f>
        <v>Losert Václav</v>
      </c>
      <c r="C33" s="256"/>
      <c r="D33" s="256"/>
      <c r="E33" s="256"/>
      <c r="F33" s="256"/>
      <c r="G33" s="256"/>
      <c r="H33" s="256"/>
      <c r="I33" s="256"/>
      <c r="J33" s="256"/>
      <c r="K33" s="257"/>
      <c r="L33" s="261" t="str">
        <f ca="1">IFERROR(VLOOKUP(LARGE(INDIRECT(VLOOKUP($A$5,'Start List'!$J$9:$Q$14,Data!AP6+4,FALSE)),Men!A33),IF(Data!AP6=2,'Start List'!$C$15:$V$139,'Start List'!$B$15:$V$139),IF(Data!AP6=2,6,7),FALSE)," ")</f>
        <v xml:space="preserve"> </v>
      </c>
      <c r="M33" s="8"/>
      <c r="O33" s="7"/>
      <c r="AA33" s="9"/>
      <c r="AO33" s="9"/>
      <c r="BC33" s="23"/>
    </row>
    <row r="34" spans="1:63" ht="6.75" customHeight="1" thickBot="1" x14ac:dyDescent="0.25">
      <c r="A34" s="254"/>
      <c r="B34" s="258"/>
      <c r="C34" s="259"/>
      <c r="D34" s="259"/>
      <c r="E34" s="259"/>
      <c r="F34" s="259"/>
      <c r="G34" s="259"/>
      <c r="H34" s="259"/>
      <c r="I34" s="259"/>
      <c r="J34" s="259"/>
      <c r="K34" s="260"/>
      <c r="L34" s="262"/>
      <c r="M34" s="13"/>
      <c r="O34" s="263">
        <f>VLOOKUP(VLOOKUP($A$5,'Start List'!$J$9:$Q$14,8,FALSE)&amp;A27,Data!$D$2:$H$97,3,FALSE)</f>
        <v>3</v>
      </c>
      <c r="P34" s="264">
        <v>28</v>
      </c>
      <c r="Q34" s="266">
        <v>29</v>
      </c>
      <c r="R34" s="266">
        <v>27</v>
      </c>
      <c r="S34" s="266">
        <v>28</v>
      </c>
      <c r="T34" s="266"/>
      <c r="U34" s="269">
        <f>IF(P34&gt;P36,2,IF(AND(P36=P34,P34&gt;0),1,0))</f>
        <v>1</v>
      </c>
      <c r="V34" s="269">
        <f>IF(Q34&gt;Q36,2,IF(AND(Q36=Q34,Q34&gt;0),1,0))</f>
        <v>2</v>
      </c>
      <c r="W34" s="269">
        <f>IF(R34&gt;R36,2,IF(AND(R36=R34,R34&gt;0),1,0))</f>
        <v>1</v>
      </c>
      <c r="X34" s="269">
        <f>IF(S34&gt;S36,2,IF(AND(S36=S34,S34&gt;0),1,0))</f>
        <v>2</v>
      </c>
      <c r="Y34" s="269">
        <f>IF(T34&gt;T36,2,IF(AND(T36=T34,T34&gt;0),1,0))</f>
        <v>0</v>
      </c>
      <c r="Z34" s="277">
        <f>SUM(U34:Y35)</f>
        <v>6</v>
      </c>
      <c r="AA34" s="9"/>
      <c r="AO34" s="9"/>
      <c r="BC34" s="23"/>
    </row>
    <row r="35" spans="1:63" ht="6.75" customHeight="1" x14ac:dyDescent="0.2">
      <c r="A35" s="30"/>
      <c r="O35" s="263"/>
      <c r="P35" s="264"/>
      <c r="Q35" s="266"/>
      <c r="R35" s="266"/>
      <c r="S35" s="266"/>
      <c r="T35" s="266"/>
      <c r="U35" s="269"/>
      <c r="V35" s="269"/>
      <c r="W35" s="269"/>
      <c r="X35" s="269"/>
      <c r="Y35" s="269"/>
      <c r="Z35" s="277"/>
      <c r="AA35" s="9"/>
      <c r="AC35" s="254">
        <f ca="1">IF(P40="bye to the next round",O30,IF(AND(Z34&gt;Z36,Z34&gt;4),O30,IF(AND(Z36&gt;Z34,Z36&gt;4),O40,IF(AND(Z34=5,Z36=5),MIN(O30,O40)," "))))</f>
        <v>4</v>
      </c>
      <c r="AD35" s="255" t="str">
        <f ca="1">IF(AC35=" "," ",IFERROR(VLOOKUP(LARGE(INDIRECT(VLOOKUP($A$5,'Start List'!$J$9:$Q$14,Data!AP6+4,FALSE)),AC35),IF(Data!AP6=2,'Start List'!$C$15:$V$139,'Start List'!$B$15:$V$139),IF(Data!AP6=2,2,3),FALSE),"bye to the next round"))</f>
        <v>Sváb Sándor</v>
      </c>
      <c r="AE35" s="256"/>
      <c r="AF35" s="256"/>
      <c r="AG35" s="256"/>
      <c r="AH35" s="256"/>
      <c r="AI35" s="256"/>
      <c r="AJ35" s="256"/>
      <c r="AK35" s="256"/>
      <c r="AL35" s="256"/>
      <c r="AM35" s="257"/>
      <c r="AN35" s="275" t="str">
        <f ca="1">IFERROR(VLOOKUP(LARGE(INDIRECT(VLOOKUP($A$5,'Start List'!$J$9:$Q$14,Data!AP6+4,FALSE)),Men!AC35),IF(Data!AP6=2,'Start List'!$C$15:$V$139,'Start List'!$B$15:$V$139),IF(Data!AP6=2,6,7),FALSE)," ")</f>
        <v xml:space="preserve"> </v>
      </c>
      <c r="AO35" s="8"/>
      <c r="BC35" s="23"/>
    </row>
    <row r="36" spans="1:63" ht="6.75" customHeight="1" thickBot="1" x14ac:dyDescent="0.25">
      <c r="A36" s="29"/>
      <c r="B36" s="29"/>
      <c r="C36" s="29"/>
      <c r="D36" s="29"/>
      <c r="E36" s="29"/>
      <c r="F36" s="29"/>
      <c r="G36" s="29"/>
      <c r="H36" s="29"/>
      <c r="I36" s="29"/>
      <c r="J36" s="29"/>
      <c r="K36" s="29"/>
      <c r="L36" s="29"/>
      <c r="M36" s="29"/>
      <c r="N36" s="29"/>
      <c r="O36" s="263">
        <f>VLOOKUP(VLOOKUP($A$5,'Start List'!$J$9:$Q$14,8,FALSE)&amp;A43,Data!$D$2:$H$97,3,FALSE)</f>
        <v>4</v>
      </c>
      <c r="P36" s="266">
        <v>28</v>
      </c>
      <c r="Q36" s="266">
        <v>27</v>
      </c>
      <c r="R36" s="266">
        <v>27</v>
      </c>
      <c r="S36" s="266">
        <v>27</v>
      </c>
      <c r="T36" s="266"/>
      <c r="U36" s="269">
        <f>IF(P34&lt;P36,2,IF(AND(P36=P34,P36&gt;0),1,0))</f>
        <v>1</v>
      </c>
      <c r="V36" s="269">
        <f>IF(Q34&lt;Q36,2,IF(AND(Q36=Q34,Q36&gt;0),1,0))</f>
        <v>0</v>
      </c>
      <c r="W36" s="269">
        <f>IF(R34&lt;R36,2,IF(AND(R36=R34,R36&gt;0),1,0))</f>
        <v>1</v>
      </c>
      <c r="X36" s="269">
        <f>IF(S34&lt;S36,2,IF(AND(S36=S34,S36&gt;0),1,0))</f>
        <v>0</v>
      </c>
      <c r="Y36" s="269">
        <f>IF(T34&lt;T36,2,IF(AND(T36=T34,T36&gt;0),1,0))</f>
        <v>0</v>
      </c>
      <c r="Z36" s="277">
        <f>SUM(U36:Y37)</f>
        <v>2</v>
      </c>
      <c r="AA36" s="17"/>
      <c r="AB36" s="19"/>
      <c r="AC36" s="254"/>
      <c r="AD36" s="258"/>
      <c r="AE36" s="259"/>
      <c r="AF36" s="259"/>
      <c r="AG36" s="259"/>
      <c r="AH36" s="259"/>
      <c r="AI36" s="259"/>
      <c r="AJ36" s="259"/>
      <c r="AK36" s="259"/>
      <c r="AL36" s="259"/>
      <c r="AM36" s="260"/>
      <c r="AN36" s="276"/>
      <c r="AO36" s="13"/>
      <c r="BC36" s="23"/>
    </row>
    <row r="37" spans="1:63" ht="6.75" customHeight="1" x14ac:dyDescent="0.2">
      <c r="A37" s="254">
        <v>5</v>
      </c>
      <c r="B37" s="255" t="str">
        <f ca="1">IF(A37=" "," ",IFERROR(VLOOKUP(LARGE(INDIRECT(VLOOKUP($A$5,'Start List'!$J$9:$Q$14,Data!AP6+4,FALSE)),A37),IF(Data!AP6=2,'Start List'!$C$15:$V$139,'Start List'!$B$15:$V$139),IF(Data!AP6=2,2,3),FALSE),"bye to the next round"))</f>
        <v>Petar Blagec</v>
      </c>
      <c r="C37" s="256"/>
      <c r="D37" s="256"/>
      <c r="E37" s="256"/>
      <c r="F37" s="256"/>
      <c r="G37" s="256"/>
      <c r="H37" s="256"/>
      <c r="I37" s="256"/>
      <c r="J37" s="256"/>
      <c r="K37" s="257"/>
      <c r="L37" s="261" t="str">
        <f ca="1">IFERROR(VLOOKUP(LARGE(INDIRECT(VLOOKUP($A$5,'Start List'!$J$9:$Q$14,Data!AP6+4,FALSE)),Men!A37),IF(Data!AP6=2,'Start List'!$C$15:$V$139,'Start List'!$B$15:$V$139),IF(Data!AP6=2,6,7),FALSE)," ")</f>
        <v xml:space="preserve"> </v>
      </c>
      <c r="M37" s="2"/>
      <c r="N37" s="5"/>
      <c r="O37" s="263"/>
      <c r="P37" s="266"/>
      <c r="Q37" s="266"/>
      <c r="R37" s="266"/>
      <c r="S37" s="266"/>
      <c r="T37" s="266"/>
      <c r="U37" s="269"/>
      <c r="V37" s="269"/>
      <c r="W37" s="269"/>
      <c r="X37" s="269"/>
      <c r="Y37" s="269"/>
      <c r="Z37" s="277"/>
      <c r="AA37" s="18"/>
      <c r="AB37" s="1"/>
      <c r="BC37" s="23"/>
    </row>
    <row r="38" spans="1:63" ht="6.75" customHeight="1" thickBot="1" x14ac:dyDescent="0.25">
      <c r="A38" s="270"/>
      <c r="B38" s="258"/>
      <c r="C38" s="259"/>
      <c r="D38" s="259"/>
      <c r="E38" s="259"/>
      <c r="F38" s="259"/>
      <c r="G38" s="259"/>
      <c r="H38" s="259"/>
      <c r="I38" s="259"/>
      <c r="J38" s="259"/>
      <c r="K38" s="260"/>
      <c r="L38" s="262"/>
      <c r="M38" s="14"/>
      <c r="AA38" s="9"/>
      <c r="BC38" s="23"/>
    </row>
    <row r="39" spans="1:63" ht="6.75" customHeight="1" thickBot="1" x14ac:dyDescent="0.25">
      <c r="A39" s="263">
        <f>VLOOKUP(VLOOKUP($A$5,'Start List'!$J$9:$Q$14,8,FALSE)&amp;A37,Data!$D$2:$H$97,2,FALSE)</f>
        <v>7</v>
      </c>
      <c r="B39" s="274">
        <v>27</v>
      </c>
      <c r="C39" s="271">
        <v>26</v>
      </c>
      <c r="D39" s="271">
        <v>25</v>
      </c>
      <c r="E39" s="271">
        <v>29</v>
      </c>
      <c r="F39" s="271"/>
      <c r="G39" s="268">
        <f>IF(B39&gt;B41,2,IF(AND(B41=B39,B39&gt;0),1,0))</f>
        <v>1</v>
      </c>
      <c r="H39" s="268">
        <f>IF(C39&gt;C41,2,IF(AND(C41=C39,C39&gt;0),1,0))</f>
        <v>2</v>
      </c>
      <c r="I39" s="268">
        <f>IF(D39&gt;D41,2,IF(AND(D41=D39,D39&gt;0),1,0))</f>
        <v>0</v>
      </c>
      <c r="J39" s="268">
        <f>IF(E39&gt;E41,2,IF(AND(E41=E39,E39&gt;0),1,0))</f>
        <v>2</v>
      </c>
      <c r="K39" s="268">
        <f>IF(F39&gt;F41,2,IF(AND(F41=F39,F39&gt;0),1,0))</f>
        <v>0</v>
      </c>
      <c r="L39" s="272">
        <f>SUM(G39:K40)</f>
        <v>5</v>
      </c>
      <c r="M39" s="9"/>
      <c r="AA39" s="9"/>
      <c r="BC39" s="23"/>
    </row>
    <row r="40" spans="1:63" ht="6.75" customHeight="1" x14ac:dyDescent="0.2">
      <c r="A40" s="263"/>
      <c r="B40" s="264"/>
      <c r="C40" s="266"/>
      <c r="D40" s="266"/>
      <c r="E40" s="266"/>
      <c r="F40" s="266"/>
      <c r="G40" s="269"/>
      <c r="H40" s="269"/>
      <c r="I40" s="269"/>
      <c r="J40" s="269"/>
      <c r="K40" s="269"/>
      <c r="L40" s="273"/>
      <c r="M40" s="15"/>
      <c r="O40" s="254">
        <f ca="1">IF(B43="bye to the next round",A37,IF(AND(L39&gt;L41,L39&gt;4),A37,IF(AND(L41&gt;L39,L41&gt;4),A43,IF(AND(L39=5,L41=5),MIN(A37,A43)," "))))</f>
        <v>5</v>
      </c>
      <c r="P40" s="255" t="str">
        <f ca="1">IF(O40=" "," ",IFERROR(VLOOKUP(LARGE(INDIRECT(VLOOKUP($A$5,'Start List'!$J$9:$Q$14,Data!AP6+4,FALSE)),O40),IF(Data!AP6=2,'Start List'!$C$15:$V$139,'Start List'!$B$15:$V$139),IF(Data!AP6=2,2,3),FALSE),"bye to the next round"))</f>
        <v>Petar Blagec</v>
      </c>
      <c r="Q40" s="256"/>
      <c r="R40" s="256"/>
      <c r="S40" s="256"/>
      <c r="T40" s="256"/>
      <c r="U40" s="256"/>
      <c r="V40" s="256"/>
      <c r="W40" s="256"/>
      <c r="X40" s="256"/>
      <c r="Y40" s="257"/>
      <c r="Z40" s="261" t="str">
        <f ca="1">IFERROR(VLOOKUP(LARGE(INDIRECT(VLOOKUP($A$5,'Start List'!$J$9:$Q$14,Data!AP6+4,FALSE)),Men!O40),IF(Data!AP6=2,'Start List'!$C$15:$V$139,'Start List'!$B$15:$V$139),IF(Data!AP6=2,6,7),FALSE)," ")</f>
        <v xml:space="preserve"> </v>
      </c>
      <c r="AA40" s="8"/>
      <c r="BC40" s="23"/>
      <c r="BE40" s="278" t="str">
        <f>VLOOKUP("Stand",Translation!$A$1:$E$57,Data!$AP$2,FALSE)</f>
        <v>Final Standings</v>
      </c>
      <c r="BF40" s="278"/>
      <c r="BG40" s="278"/>
      <c r="BH40" s="278"/>
      <c r="BI40" s="278"/>
      <c r="BJ40" s="278"/>
      <c r="BK40" s="278"/>
    </row>
    <row r="41" spans="1:63" ht="6.75" customHeight="1" thickBot="1" x14ac:dyDescent="0.25">
      <c r="A41" s="263">
        <f>VLOOKUP(VLOOKUP($A$5,'Start List'!$J$9:$Q$14,8,FALSE)&amp;A43,Data!$D$2:$H$97,2,FALSE)</f>
        <v>8</v>
      </c>
      <c r="B41" s="264">
        <v>27</v>
      </c>
      <c r="C41" s="266">
        <v>22</v>
      </c>
      <c r="D41" s="266">
        <v>27</v>
      </c>
      <c r="E41" s="266">
        <v>26</v>
      </c>
      <c r="F41" s="266"/>
      <c r="G41" s="268">
        <f>IF(B39&lt;B41,2,IF(AND(B41=B39,B41&gt;0),1,0))</f>
        <v>1</v>
      </c>
      <c r="H41" s="268">
        <f>IF(C39&lt;C41,2,IF(AND(C41=C39,C41&gt;0),1,0))</f>
        <v>0</v>
      </c>
      <c r="I41" s="268">
        <f>IF(D39&lt;D41,2,IF(AND(D41=D39,D41&gt;0),1,0))</f>
        <v>2</v>
      </c>
      <c r="J41" s="268">
        <f>IF(E39&lt;E41,2,IF(AND(E41=E39,E41&gt;0),1,0))</f>
        <v>0</v>
      </c>
      <c r="K41" s="268">
        <f>IF(F39&lt;F41,2,IF(AND(F41=F39,F41&gt;0),1,0))</f>
        <v>0</v>
      </c>
      <c r="L41" s="272">
        <f>SUM(G41:K42)</f>
        <v>3</v>
      </c>
      <c r="M41" s="15"/>
      <c r="N41" s="10"/>
      <c r="O41" s="254"/>
      <c r="P41" s="258"/>
      <c r="Q41" s="259"/>
      <c r="R41" s="259"/>
      <c r="S41" s="259"/>
      <c r="T41" s="259"/>
      <c r="U41" s="259"/>
      <c r="V41" s="259"/>
      <c r="W41" s="259"/>
      <c r="X41" s="259"/>
      <c r="Y41" s="260"/>
      <c r="Z41" s="262"/>
      <c r="AA41" s="13"/>
      <c r="BE41" s="278"/>
      <c r="BF41" s="278"/>
      <c r="BG41" s="278"/>
      <c r="BH41" s="278"/>
      <c r="BI41" s="278"/>
      <c r="BJ41" s="278"/>
      <c r="BK41" s="278"/>
    </row>
    <row r="42" spans="1:63" ht="6.75" customHeight="1" thickBot="1" x14ac:dyDescent="0.25">
      <c r="A42" s="263"/>
      <c r="B42" s="265"/>
      <c r="C42" s="267"/>
      <c r="D42" s="267"/>
      <c r="E42" s="267"/>
      <c r="F42" s="267"/>
      <c r="G42" s="269"/>
      <c r="H42" s="269"/>
      <c r="I42" s="269"/>
      <c r="J42" s="269"/>
      <c r="K42" s="269"/>
      <c r="L42" s="273"/>
      <c r="M42" s="15"/>
      <c r="O42" s="7"/>
      <c r="BE42" s="280">
        <v>1</v>
      </c>
      <c r="BF42" s="282" t="str">
        <f ca="1">BF25</f>
        <v>Korbař Bohumil</v>
      </c>
      <c r="BG42" s="282"/>
      <c r="BH42" s="282"/>
      <c r="BI42" s="282"/>
      <c r="BJ42" s="282"/>
      <c r="BK42" s="284" t="str">
        <f ca="1">BK25</f>
        <v xml:space="preserve"> </v>
      </c>
    </row>
    <row r="43" spans="1:63" ht="6.75" customHeight="1" x14ac:dyDescent="0.2">
      <c r="A43" s="254">
        <v>12</v>
      </c>
      <c r="B43" s="255" t="str">
        <f ca="1">IF(A43=" "," ",IFERROR(VLOOKUP(LARGE(INDIRECT(VLOOKUP($A$5,'Start List'!$J$9:$Q$14,Data!AP6+4,FALSE)),A43),IF(Data!AP6=2,'Start List'!$C$15:$V$139,'Start List'!$B$15:$V$139),IF(Data!AP6=2,2,3),FALSE),"bye to the next round"))</f>
        <v>Kratochvíla Pavel</v>
      </c>
      <c r="C43" s="256"/>
      <c r="D43" s="256"/>
      <c r="E43" s="256"/>
      <c r="F43" s="256"/>
      <c r="G43" s="256"/>
      <c r="H43" s="256"/>
      <c r="I43" s="256"/>
      <c r="J43" s="256"/>
      <c r="K43" s="257"/>
      <c r="L43" s="261" t="str">
        <f ca="1">IFERROR(VLOOKUP(LARGE(INDIRECT(VLOOKUP($A$5,'Start List'!$J$9:$Q$14,Data!AP6+4,FALSE)),Men!A43),IF(Data!AP6=2,'Start List'!$C$15:$V$139,'Start List'!$B$15:$V$139),IF(Data!AP6=2,6,7),FALSE)," ")</f>
        <v xml:space="preserve"> </v>
      </c>
      <c r="M43" s="8"/>
      <c r="O43" s="7"/>
      <c r="BE43" s="281"/>
      <c r="BF43" s="283"/>
      <c r="BG43" s="283"/>
      <c r="BH43" s="283"/>
      <c r="BI43" s="283"/>
      <c r="BJ43" s="283"/>
      <c r="BK43" s="285"/>
    </row>
    <row r="44" spans="1:63" ht="6.75" customHeight="1" thickBot="1" x14ac:dyDescent="0.25">
      <c r="A44" s="254"/>
      <c r="B44" s="258"/>
      <c r="C44" s="259"/>
      <c r="D44" s="259"/>
      <c r="E44" s="259"/>
      <c r="F44" s="259"/>
      <c r="G44" s="259"/>
      <c r="H44" s="259"/>
      <c r="I44" s="259"/>
      <c r="J44" s="259"/>
      <c r="K44" s="260"/>
      <c r="L44" s="262"/>
      <c r="M44" s="13"/>
      <c r="BE44" s="286">
        <v>2</v>
      </c>
      <c r="BF44" s="283" t="str">
        <f ca="1">IF(BE25=" "," ",IF(BE25=AQ20,AR30,AR20))</f>
        <v>Pereglin Domagoj</v>
      </c>
      <c r="BG44" s="283"/>
      <c r="BH44" s="283"/>
      <c r="BI44" s="283"/>
      <c r="BJ44" s="283"/>
      <c r="BK44" s="285" t="str">
        <f ca="1">IF(BE25=" "," ",IF(BE25=AQ20,BB30,BB20))</f>
        <v xml:space="preserve"> </v>
      </c>
    </row>
    <row r="45" spans="1:63" ht="6.75" customHeight="1" x14ac:dyDescent="0.2">
      <c r="A45" s="30"/>
      <c r="BE45" s="286"/>
      <c r="BF45" s="283"/>
      <c r="BG45" s="283"/>
      <c r="BH45" s="283"/>
      <c r="BI45" s="283"/>
      <c r="BJ45" s="283"/>
      <c r="BK45" s="285"/>
    </row>
    <row r="46" spans="1:63" ht="6.75" customHeight="1" thickBot="1" x14ac:dyDescent="0.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BE46" s="287">
        <v>3</v>
      </c>
      <c r="BF46" s="283" t="str">
        <f ca="1">BF65</f>
        <v>Oborovečki Martin</v>
      </c>
      <c r="BG46" s="283"/>
      <c r="BH46" s="283"/>
      <c r="BI46" s="283"/>
      <c r="BJ46" s="283"/>
      <c r="BK46" s="285" t="str">
        <f ca="1">BK65</f>
        <v xml:space="preserve"> </v>
      </c>
    </row>
    <row r="47" spans="1:63" ht="6.75" customHeight="1" x14ac:dyDescent="0.2">
      <c r="A47" s="254">
        <v>2</v>
      </c>
      <c r="B47" s="255" t="str">
        <f ca="1">IF(A47=" "," ",IFERROR(VLOOKUP(LARGE(INDIRECT(VLOOKUP($A$5,'Start List'!$J$9:$Q$14,Data!AP6+4,FALSE)),A47),IF(Data!AP6=2,'Start List'!$C$15:$V$139,'Start List'!$B$15:$V$139),IF(Data!AP6=2,2,3),FALSE),"bye to the next round"))</f>
        <v>Pereglin Domagoj</v>
      </c>
      <c r="C47" s="256"/>
      <c r="D47" s="256"/>
      <c r="E47" s="256"/>
      <c r="F47" s="256"/>
      <c r="G47" s="256"/>
      <c r="H47" s="256"/>
      <c r="I47" s="256"/>
      <c r="J47" s="256"/>
      <c r="K47" s="257"/>
      <c r="L47" s="261" t="str">
        <f ca="1">IFERROR(VLOOKUP(LARGE(INDIRECT(VLOOKUP($A$5,'Start List'!$J$9:$Q$14,Data!AP6+4,FALSE)),Men!A47),IF(Data!AP6=2,'Start List'!$C$15:$V$139,'Start List'!$B$15:$V$139),IF(Data!AP6=2,6,7),FALSE)," ")</f>
        <v xml:space="preserve"> </v>
      </c>
      <c r="M47" s="2"/>
      <c r="N47" s="5"/>
      <c r="O47" s="11"/>
      <c r="P47" s="1"/>
      <c r="Q47" s="1"/>
      <c r="R47" s="1"/>
      <c r="S47" s="1"/>
      <c r="T47" s="1"/>
      <c r="U47" s="1"/>
      <c r="V47" s="1"/>
      <c r="W47" s="1"/>
      <c r="X47" s="1"/>
      <c r="Y47" s="1"/>
      <c r="Z47" s="1"/>
      <c r="AA47" s="1"/>
      <c r="AB47" s="1"/>
      <c r="BE47" s="287"/>
      <c r="BF47" s="283"/>
      <c r="BG47" s="283"/>
      <c r="BH47" s="283"/>
      <c r="BI47" s="283"/>
      <c r="BJ47" s="283"/>
      <c r="BK47" s="285"/>
    </row>
    <row r="48" spans="1:63" ht="6.75" customHeight="1" thickBot="1" x14ac:dyDescent="0.25">
      <c r="A48" s="270"/>
      <c r="B48" s="258"/>
      <c r="C48" s="259"/>
      <c r="D48" s="259"/>
      <c r="E48" s="259"/>
      <c r="F48" s="259"/>
      <c r="G48" s="259"/>
      <c r="H48" s="259"/>
      <c r="I48" s="259"/>
      <c r="J48" s="259"/>
      <c r="K48" s="260"/>
      <c r="L48" s="262"/>
      <c r="M48" s="14"/>
      <c r="BE48" s="288">
        <v>4</v>
      </c>
      <c r="BF48" s="283" t="str">
        <f ca="1">IF(BE65=" "," ",IF(BE65=AQ60,AR70,AR60))</f>
        <v>Sváb Sándor</v>
      </c>
      <c r="BG48" s="283"/>
      <c r="BH48" s="283"/>
      <c r="BI48" s="283"/>
      <c r="BJ48" s="283"/>
      <c r="BK48" s="285" t="str">
        <f ca="1">IF(BE65=" "," ",IF(BE65=AQ60,BB70,BB60))</f>
        <v xml:space="preserve"> </v>
      </c>
    </row>
    <row r="49" spans="1:68" ht="6.75" customHeight="1" thickBot="1" x14ac:dyDescent="0.25">
      <c r="A49" s="263">
        <f>VLOOKUP(VLOOKUP($A$5,'Start List'!$J$9:$Q$14,8,FALSE)&amp;A47,Data!$D$2:$H$97,2,FALSE)</f>
        <v>9</v>
      </c>
      <c r="B49" s="274">
        <v>29</v>
      </c>
      <c r="C49" s="271">
        <v>28</v>
      </c>
      <c r="D49" s="271">
        <v>28</v>
      </c>
      <c r="E49" s="271"/>
      <c r="F49" s="271"/>
      <c r="G49" s="268">
        <f>IF(B49&gt;B51,2,IF(AND(B51=B49,B49&gt;0),1,0))</f>
        <v>2</v>
      </c>
      <c r="H49" s="268">
        <f>IF(C49&gt;C51,2,IF(AND(C51=C49,C49&gt;0),1,0))</f>
        <v>1</v>
      </c>
      <c r="I49" s="268">
        <f>IF(D49&gt;D51,2,IF(AND(D51=D49,D49&gt;0),1,0))</f>
        <v>2</v>
      </c>
      <c r="J49" s="268">
        <f>IF(E49&gt;E51,2,IF(AND(E51=E49,E49&gt;0),1,0))</f>
        <v>0</v>
      </c>
      <c r="K49" s="268">
        <f>IF(F49&gt;F51,2,IF(AND(F51=F49,F49&gt;0),1,0))</f>
        <v>0</v>
      </c>
      <c r="L49" s="272">
        <f>SUM(G49:K50)</f>
        <v>5</v>
      </c>
      <c r="M49" s="9"/>
      <c r="BE49" s="289"/>
      <c r="BF49" s="290"/>
      <c r="BG49" s="290"/>
      <c r="BH49" s="290"/>
      <c r="BI49" s="290"/>
      <c r="BJ49" s="290"/>
      <c r="BK49" s="291"/>
    </row>
    <row r="50" spans="1:68" ht="6.75" customHeight="1" x14ac:dyDescent="0.2">
      <c r="A50" s="263"/>
      <c r="B50" s="264"/>
      <c r="C50" s="266"/>
      <c r="D50" s="266"/>
      <c r="E50" s="266"/>
      <c r="F50" s="266"/>
      <c r="G50" s="269"/>
      <c r="H50" s="269"/>
      <c r="I50" s="269"/>
      <c r="J50" s="269"/>
      <c r="K50" s="269"/>
      <c r="L50" s="273"/>
      <c r="M50" s="15"/>
      <c r="O50" s="254">
        <f ca="1">IF(B53="bye to the next round",A47,IF(AND(L49&gt;L51,L49&gt;4),A47,IF(AND(L51&gt;L49,L51&gt;4),A53,IF(AND(L49=5,L51=5),MIN(A47,A53)," "))))</f>
        <v>2</v>
      </c>
      <c r="P50" s="255" t="str">
        <f ca="1">IF(O50=" "," ",IFERROR(VLOOKUP(LARGE(INDIRECT(VLOOKUP($A$5,'Start List'!$J$9:$Q$14,Data!AP6+4,FALSE)),O50),IF(Data!AP6=2,'Start List'!$C$15:$V$139,'Start List'!$B$15:$V$139),IF(Data!AP6=2,2,3),FALSE),"bye to the next round"))</f>
        <v>Pereglin Domagoj</v>
      </c>
      <c r="Q50" s="256"/>
      <c r="R50" s="256"/>
      <c r="S50" s="256"/>
      <c r="T50" s="256"/>
      <c r="U50" s="256"/>
      <c r="V50" s="256"/>
      <c r="W50" s="256"/>
      <c r="X50" s="256"/>
      <c r="Y50" s="257"/>
      <c r="Z50" s="261" t="str">
        <f ca="1">IFERROR(VLOOKUP(LARGE(INDIRECT(VLOOKUP($A$5,'Start List'!$J$9:$Q$14,Data!AP6+4,FALSE)),Men!O50),IF(Data!AP6=2,'Start List'!$C$15:$V$139,'Start List'!$B$15:$V$139),IF(Data!AP6=2,6,7),FALSE)," ")</f>
        <v xml:space="preserve"> </v>
      </c>
      <c r="AA50" s="16"/>
      <c r="BE50" s="196">
        <f>Data!AW4</f>
        <v>44062</v>
      </c>
      <c r="BF50" s="197"/>
      <c r="BG50" s="197"/>
      <c r="BH50" s="197"/>
      <c r="BI50" s="197"/>
      <c r="BJ50" s="197"/>
      <c r="BK50" s="197"/>
      <c r="BM50" s="7">
        <v>1</v>
      </c>
      <c r="BN50" s="7" t="str">
        <f>L9&amp;":"&amp;L11</f>
        <v>6:0</v>
      </c>
      <c r="BO50" s="7" t="str">
        <f>Z14&amp;":"&amp;Z16</f>
        <v>6:0</v>
      </c>
      <c r="BP50" s="7" t="str">
        <f>AN24&amp;":"&amp;AN26</f>
        <v>5:1</v>
      </c>
    </row>
    <row r="51" spans="1:68" ht="6.75" customHeight="1" thickBot="1" x14ac:dyDescent="0.25">
      <c r="A51" s="263">
        <f>VLOOKUP(VLOOKUP($A$5,'Start List'!$J$9:$Q$14,8,FALSE)&amp;A53,Data!$D$2:$H$97,2,FALSE)</f>
        <v>10</v>
      </c>
      <c r="B51" s="264">
        <v>26</v>
      </c>
      <c r="C51" s="266">
        <v>28</v>
      </c>
      <c r="D51" s="266">
        <v>24</v>
      </c>
      <c r="E51" s="266"/>
      <c r="F51" s="266"/>
      <c r="G51" s="268">
        <f>IF(B49&lt;B51,2,IF(AND(B51=B49,B51&gt;0),1,0))</f>
        <v>0</v>
      </c>
      <c r="H51" s="268">
        <f>IF(C49&lt;C51,2,IF(AND(C51=C49,C51&gt;0),1,0))</f>
        <v>1</v>
      </c>
      <c r="I51" s="268">
        <f>IF(D49&lt;D51,2,IF(AND(D51=D49,D51&gt;0),1,0))</f>
        <v>0</v>
      </c>
      <c r="J51" s="268">
        <f>IF(E49&lt;E51,2,IF(AND(E51=E49,E51&gt;0),1,0))</f>
        <v>0</v>
      </c>
      <c r="K51" s="268">
        <f>IF(F49&lt;F51,2,IF(AND(F51=F49,F51&gt;0),1,0))</f>
        <v>0</v>
      </c>
      <c r="L51" s="272">
        <f>SUM(G51:K52)</f>
        <v>1</v>
      </c>
      <c r="M51" s="15"/>
      <c r="N51" s="10"/>
      <c r="O51" s="254"/>
      <c r="P51" s="258"/>
      <c r="Q51" s="259"/>
      <c r="R51" s="259"/>
      <c r="S51" s="259"/>
      <c r="T51" s="259"/>
      <c r="U51" s="259"/>
      <c r="V51" s="259"/>
      <c r="W51" s="259"/>
      <c r="X51" s="259"/>
      <c r="Y51" s="260"/>
      <c r="Z51" s="262"/>
      <c r="AA51" s="12"/>
      <c r="BE51" s="195"/>
      <c r="BF51" s="195"/>
      <c r="BG51" s="195"/>
      <c r="BH51" s="195"/>
      <c r="BI51" s="195"/>
      <c r="BJ51" s="195"/>
      <c r="BK51" s="195"/>
      <c r="BM51" s="7">
        <v>2</v>
      </c>
      <c r="BN51" s="7" t="str">
        <f>L49&amp;":"&amp;L51</f>
        <v>5:1</v>
      </c>
      <c r="BO51" s="7" t="str">
        <f>Z54&amp;":"&amp;Z56</f>
        <v>5:1</v>
      </c>
      <c r="BP51" s="7" t="str">
        <f>AN64&amp;":"&amp;AN66</f>
        <v>5:3</v>
      </c>
    </row>
    <row r="52" spans="1:68" ht="6.75" customHeight="1" thickBot="1" x14ac:dyDescent="0.25">
      <c r="A52" s="263"/>
      <c r="B52" s="265"/>
      <c r="C52" s="267"/>
      <c r="D52" s="267"/>
      <c r="E52" s="267"/>
      <c r="F52" s="267"/>
      <c r="G52" s="269"/>
      <c r="H52" s="269"/>
      <c r="I52" s="269"/>
      <c r="J52" s="269"/>
      <c r="K52" s="269"/>
      <c r="L52" s="273"/>
      <c r="M52" s="15"/>
      <c r="O52" s="7"/>
      <c r="AA52" s="9"/>
      <c r="BC52" s="23"/>
      <c r="BE52" s="194">
        <f ca="1">Data!AW5</f>
        <v>44059.610003935188</v>
      </c>
      <c r="BF52" s="195"/>
      <c r="BG52" s="195"/>
      <c r="BH52" s="195"/>
      <c r="BI52" s="195"/>
      <c r="BJ52" s="195"/>
      <c r="BK52" s="195"/>
      <c r="BM52" s="7">
        <v>3</v>
      </c>
      <c r="BN52" s="7" t="str">
        <f>L69&amp;":"&amp;L71</f>
        <v>6:2</v>
      </c>
      <c r="BO52" s="7" t="str">
        <f>Z74&amp;":"&amp;Z76</f>
        <v>5:1</v>
      </c>
      <c r="BP52" s="7" t="str">
        <f>AN66&amp;":"&amp;AN64</f>
        <v>3:5</v>
      </c>
    </row>
    <row r="53" spans="1:68" ht="6.75" customHeight="1" x14ac:dyDescent="0.2">
      <c r="A53" s="254">
        <v>15</v>
      </c>
      <c r="B53" s="255" t="str">
        <f ca="1">IF(A53=" "," ",IFERROR(VLOOKUP(LARGE(INDIRECT(VLOOKUP($A$5,'Start List'!$J$9:$Q$14,Data!AP6+4,FALSE)),A53),IF(Data!AP6=2,'Start List'!$C$15:$V$139,'Start List'!$B$15:$V$139),IF(Data!AP6=2,2,3),FALSE),"bye to the next round"))</f>
        <v>Palotai Gyula</v>
      </c>
      <c r="C53" s="256"/>
      <c r="D53" s="256"/>
      <c r="E53" s="256"/>
      <c r="F53" s="256"/>
      <c r="G53" s="256"/>
      <c r="H53" s="256"/>
      <c r="I53" s="256"/>
      <c r="J53" s="256"/>
      <c r="K53" s="257"/>
      <c r="L53" s="261" t="str">
        <f ca="1">IFERROR(VLOOKUP(LARGE(INDIRECT(VLOOKUP($A$5,'Start List'!$J$9:$Q$14,Data!AP6+4,FALSE)),Men!A53),IF(Data!AP6=2,'Start List'!$C$15:$V$139,'Start List'!$B$15:$V$139),IF(Data!AP6=2,6,7),FALSE)," ")</f>
        <v xml:space="preserve"> </v>
      </c>
      <c r="M53" s="8"/>
      <c r="O53" s="7"/>
      <c r="AA53" s="9"/>
      <c r="BC53" s="23"/>
      <c r="BM53" s="7">
        <v>4</v>
      </c>
      <c r="BN53" s="7" t="str">
        <f>L29&amp;":"&amp;L31</f>
        <v>7:1</v>
      </c>
      <c r="BO53" s="7" t="str">
        <f>Z34&amp;":"&amp;Z36</f>
        <v>6:2</v>
      </c>
      <c r="BP53" s="7" t="str">
        <f>AN26&amp;":"&amp;AN24</f>
        <v>1:5</v>
      </c>
    </row>
    <row r="54" spans="1:68" ht="6.75" customHeight="1" thickBot="1" x14ac:dyDescent="0.25">
      <c r="A54" s="254"/>
      <c r="B54" s="258"/>
      <c r="C54" s="259"/>
      <c r="D54" s="259"/>
      <c r="E54" s="259"/>
      <c r="F54" s="259"/>
      <c r="G54" s="259"/>
      <c r="H54" s="259"/>
      <c r="I54" s="259"/>
      <c r="J54" s="259"/>
      <c r="K54" s="260"/>
      <c r="L54" s="262"/>
      <c r="M54" s="13"/>
      <c r="O54" s="263">
        <f>VLOOKUP(VLOOKUP($A$5,'Start List'!$J$9:$Q$14,8,FALSE)&amp;A47,Data!$D$2:$H$97,3,FALSE)</f>
        <v>5</v>
      </c>
      <c r="P54" s="264">
        <v>29</v>
      </c>
      <c r="Q54" s="266">
        <v>28</v>
      </c>
      <c r="R54" s="266">
        <v>29</v>
      </c>
      <c r="S54" s="266"/>
      <c r="T54" s="266"/>
      <c r="U54" s="269">
        <f>IF(P54&gt;P56,2,IF(AND(P56=P54,P54&gt;0),1,0))</f>
        <v>2</v>
      </c>
      <c r="V54" s="269">
        <f>IF(Q54&gt;Q56,2,IF(AND(Q56=Q54,Q54&gt;0),1,0))</f>
        <v>1</v>
      </c>
      <c r="W54" s="269">
        <f>IF(R54&gt;R56,2,IF(AND(R56=R54,R54&gt;0),1,0))</f>
        <v>2</v>
      </c>
      <c r="X54" s="269">
        <f>IF(S54&gt;S56,2,IF(AND(S56=S54,S54&gt;0),1,0))</f>
        <v>0</v>
      </c>
      <c r="Y54" s="269">
        <f>IF(T54&gt;T56,2,IF(AND(T56=T54,T54&gt;0),1,0))</f>
        <v>0</v>
      </c>
      <c r="Z54" s="277">
        <f>SUM(U54:Y55)</f>
        <v>5</v>
      </c>
      <c r="AA54" s="9"/>
      <c r="BC54" s="23"/>
      <c r="BM54" s="7">
        <v>5</v>
      </c>
      <c r="BN54" s="7" t="str">
        <f>L39&amp;":"&amp;L41</f>
        <v>5:3</v>
      </c>
      <c r="BO54" s="7" t="str">
        <f>Z36&amp;":"&amp;Z34</f>
        <v>2:6</v>
      </c>
      <c r="BP54" s="7" t="str">
        <f>BP53</f>
        <v>1:5</v>
      </c>
    </row>
    <row r="55" spans="1:68" ht="6.75" customHeight="1" x14ac:dyDescent="0.2">
      <c r="A55" s="30"/>
      <c r="O55" s="263"/>
      <c r="P55" s="264"/>
      <c r="Q55" s="266"/>
      <c r="R55" s="266"/>
      <c r="S55" s="266"/>
      <c r="T55" s="266"/>
      <c r="U55" s="269"/>
      <c r="V55" s="269"/>
      <c r="W55" s="269"/>
      <c r="X55" s="269"/>
      <c r="Y55" s="269"/>
      <c r="Z55" s="277"/>
      <c r="AA55" s="9"/>
      <c r="AC55" s="254">
        <f ca="1">IF(P60="bye to the next round",O50,IF(AND(Z54&gt;Z56,Z54&gt;4),O50,IF(AND(Z56&gt;Z54,Z56&gt;4),O60,IF(AND(Z54=5,Z56=5),MIN(O50,O60)," "))))</f>
        <v>2</v>
      </c>
      <c r="AD55" s="292" t="str">
        <f ca="1">IF(AC55=" "," ",IFERROR(VLOOKUP(LARGE(INDIRECT(VLOOKUP($A$5,'Start List'!$J$9:$Q$14,Data!AP6+4,FALSE)),AC55),IF(Data!AP6=2,'Start List'!$C$15:$V$139,'Start List'!$B$15:$V$139),IF(Data!AP6=2,2,3),FALSE),"bye to the next round"))</f>
        <v>Pereglin Domagoj</v>
      </c>
      <c r="AE55" s="293"/>
      <c r="AF55" s="293"/>
      <c r="AG55" s="293"/>
      <c r="AH55" s="293"/>
      <c r="AI55" s="293"/>
      <c r="AJ55" s="293"/>
      <c r="AK55" s="293"/>
      <c r="AL55" s="293"/>
      <c r="AM55" s="294"/>
      <c r="AN55" s="261" t="str">
        <f ca="1">IFERROR(VLOOKUP(LARGE(INDIRECT(VLOOKUP($A$5,'Start List'!$J$9:$Q$14,Data!AP6+4,FALSE)),Men!AC55),IF(Data!AP6=2,'Start List'!$C$15:$V$139,'Start List'!$B$15:$V$139),IF(Data!AP6=2,6,7),FALSE)," ")</f>
        <v xml:space="preserve"> </v>
      </c>
      <c r="BC55" s="23"/>
      <c r="BM55" s="7">
        <v>6</v>
      </c>
      <c r="BN55" s="7" t="str">
        <f>L79&amp;":"&amp;L81</f>
        <v>6:2</v>
      </c>
      <c r="BO55" s="7" t="str">
        <f>Z76&amp;":"&amp;Z74</f>
        <v>1:5</v>
      </c>
      <c r="BP55" s="7" t="str">
        <f>BP52</f>
        <v>3:5</v>
      </c>
    </row>
    <row r="56" spans="1:68" ht="6.75" customHeight="1" thickBot="1" x14ac:dyDescent="0.25">
      <c r="A56" s="29"/>
      <c r="B56" s="29"/>
      <c r="C56" s="29"/>
      <c r="D56" s="29"/>
      <c r="E56" s="29"/>
      <c r="F56" s="29"/>
      <c r="G56" s="29"/>
      <c r="H56" s="29"/>
      <c r="I56" s="29"/>
      <c r="J56" s="29"/>
      <c r="K56" s="29"/>
      <c r="L56" s="29"/>
      <c r="M56" s="29"/>
      <c r="N56" s="29"/>
      <c r="O56" s="263">
        <f>VLOOKUP(VLOOKUP($A$5,'Start List'!$J$9:$Q$14,8,FALSE)&amp;A63,Data!$D$2:$H$97,3,FALSE)</f>
        <v>6</v>
      </c>
      <c r="P56" s="266">
        <v>26</v>
      </c>
      <c r="Q56" s="266">
        <v>28</v>
      </c>
      <c r="R56" s="266">
        <v>28</v>
      </c>
      <c r="S56" s="266"/>
      <c r="T56" s="266"/>
      <c r="U56" s="269">
        <f>IF(P54&lt;P56,2,IF(AND(P56=P54,P56&gt;0),1,0))</f>
        <v>0</v>
      </c>
      <c r="V56" s="269">
        <f>IF(Q54&lt;Q56,2,IF(AND(Q56=Q54,Q56&gt;0),1,0))</f>
        <v>1</v>
      </c>
      <c r="W56" s="269">
        <f>IF(R54&lt;R56,2,IF(AND(R56=R54,R56&gt;0),1,0))</f>
        <v>0</v>
      </c>
      <c r="X56" s="269">
        <f>IF(S54&lt;S56,2,IF(AND(S56=S54,S56&gt;0),1,0))</f>
        <v>0</v>
      </c>
      <c r="Y56" s="269">
        <f>IF(T54&lt;T56,2,IF(AND(T56=T54,T56&gt;0),1,0))</f>
        <v>0</v>
      </c>
      <c r="Z56" s="277">
        <f>SUM(U56:Y57)</f>
        <v>1</v>
      </c>
      <c r="AA56" s="17"/>
      <c r="AB56" s="19"/>
      <c r="AC56" s="254"/>
      <c r="AD56" s="295"/>
      <c r="AE56" s="296"/>
      <c r="AF56" s="296"/>
      <c r="AG56" s="296"/>
      <c r="AH56" s="296"/>
      <c r="AI56" s="296"/>
      <c r="AJ56" s="296"/>
      <c r="AK56" s="296"/>
      <c r="AL56" s="296"/>
      <c r="AM56" s="297"/>
      <c r="AN56" s="262"/>
      <c r="AO56" s="14"/>
      <c r="BC56" s="23"/>
      <c r="BM56" s="7">
        <v>7</v>
      </c>
      <c r="BN56" s="7" t="str">
        <f>L59&amp;":"&amp;L61</f>
        <v>6:0</v>
      </c>
      <c r="BO56" s="7" t="str">
        <f>Z56&amp;":"&amp;Z54</f>
        <v>1:5</v>
      </c>
      <c r="BP56" s="7" t="str">
        <f>BP51</f>
        <v>5:3</v>
      </c>
    </row>
    <row r="57" spans="1:68" ht="6.75" customHeight="1" x14ac:dyDescent="0.2">
      <c r="A57" s="254">
        <v>7</v>
      </c>
      <c r="B57" s="255" t="str">
        <f ca="1">IF(A57=" "," ",IFERROR(VLOOKUP(LARGE(INDIRECT(VLOOKUP($A$5,'Start List'!$J$9:$Q$14,Data!AP6+4,FALSE)),A57),IF(Data!AP6=2,'Start List'!$C$15:$V$139,'Start List'!$B$15:$V$139),IF(Data!AP6=2,2,3),FALSE),"bye to the next round"))</f>
        <v>Nedělník Josef</v>
      </c>
      <c r="C57" s="256"/>
      <c r="D57" s="256"/>
      <c r="E57" s="256"/>
      <c r="F57" s="256"/>
      <c r="G57" s="256"/>
      <c r="H57" s="256"/>
      <c r="I57" s="256"/>
      <c r="J57" s="256"/>
      <c r="K57" s="257"/>
      <c r="L57" s="261" t="str">
        <f ca="1">IFERROR(VLOOKUP(LARGE(INDIRECT(VLOOKUP($A$5,'Start List'!$J$9:$Q$14,Data!AP6+4,FALSE)),Men!A57),IF(Data!AP6=2,'Start List'!$C$15:$V$139,'Start List'!$B$15:$V$139),IF(Data!AP6=2,6,7),FALSE)," ")</f>
        <v xml:space="preserve"> </v>
      </c>
      <c r="M57" s="2"/>
      <c r="N57" s="5"/>
      <c r="O57" s="263"/>
      <c r="P57" s="266"/>
      <c r="Q57" s="266"/>
      <c r="R57" s="266"/>
      <c r="S57" s="266"/>
      <c r="T57" s="266"/>
      <c r="U57" s="269"/>
      <c r="V57" s="269"/>
      <c r="W57" s="269"/>
      <c r="X57" s="269"/>
      <c r="Y57" s="269"/>
      <c r="Z57" s="277"/>
      <c r="AA57" s="18"/>
      <c r="AB57" s="1"/>
      <c r="AO57" s="9"/>
      <c r="AQ57" s="278" t="str">
        <f>VLOOKUP("BMM",Translation!$A$1:$E$57,Data!$AP$2,FALSE)</f>
        <v>Bronze Medal Match</v>
      </c>
      <c r="AR57" s="278"/>
      <c r="AS57" s="278"/>
      <c r="AT57" s="278"/>
      <c r="AU57" s="278"/>
      <c r="AV57" s="278"/>
      <c r="AW57" s="278"/>
      <c r="AX57" s="278"/>
      <c r="AY57" s="278"/>
      <c r="AZ57" s="278"/>
      <c r="BA57" s="278"/>
      <c r="BB57" s="278"/>
      <c r="BC57" s="23"/>
      <c r="BM57" s="7">
        <v>8</v>
      </c>
      <c r="BN57" s="7" t="str">
        <f>L19&amp;":"&amp;L21</f>
        <v>0:6</v>
      </c>
      <c r="BO57" s="7" t="str">
        <f>Z16&amp;":"&amp;Z14</f>
        <v>0:6</v>
      </c>
      <c r="BP57" s="7" t="str">
        <f>BP50</f>
        <v>5:1</v>
      </c>
    </row>
    <row r="58" spans="1:68" ht="6.75" customHeight="1" thickBot="1" x14ac:dyDescent="0.25">
      <c r="A58" s="270"/>
      <c r="B58" s="258"/>
      <c r="C58" s="259"/>
      <c r="D58" s="259"/>
      <c r="E58" s="259"/>
      <c r="F58" s="259"/>
      <c r="G58" s="259"/>
      <c r="H58" s="259"/>
      <c r="I58" s="259"/>
      <c r="J58" s="259"/>
      <c r="K58" s="260"/>
      <c r="L58" s="262"/>
      <c r="M58" s="14"/>
      <c r="AA58" s="9"/>
      <c r="AO58" s="9"/>
      <c r="AQ58" s="278"/>
      <c r="AR58" s="278"/>
      <c r="AS58" s="278"/>
      <c r="AT58" s="278"/>
      <c r="AU58" s="278"/>
      <c r="AV58" s="278"/>
      <c r="AW58" s="278"/>
      <c r="AX58" s="278"/>
      <c r="AY58" s="278"/>
      <c r="AZ58" s="278"/>
      <c r="BA58" s="278"/>
      <c r="BB58" s="278"/>
      <c r="BC58" s="23"/>
      <c r="BM58" s="7">
        <v>9</v>
      </c>
      <c r="BN58" s="7" t="str">
        <f>L21&amp;":"&amp;L19</f>
        <v>6:0</v>
      </c>
      <c r="BO58" s="7" t="str">
        <f>BO57</f>
        <v>0:6</v>
      </c>
      <c r="BP58" s="7" t="str">
        <f>BP50</f>
        <v>5:1</v>
      </c>
    </row>
    <row r="59" spans="1:68" ht="6.75" customHeight="1" thickBot="1" x14ac:dyDescent="0.25">
      <c r="A59" s="263">
        <f>VLOOKUP(VLOOKUP($A$5,'Start List'!$J$9:$Q$14,8,FALSE)&amp;A57,Data!$D$2:$H$97,2,FALSE)</f>
        <v>11</v>
      </c>
      <c r="B59" s="274">
        <v>29</v>
      </c>
      <c r="C59" s="271">
        <v>30</v>
      </c>
      <c r="D59" s="271">
        <v>28</v>
      </c>
      <c r="E59" s="271"/>
      <c r="F59" s="271"/>
      <c r="G59" s="268">
        <f>IF(B59&gt;B61,2,IF(AND(B61=B59,B59&gt;0),1,0))</f>
        <v>2</v>
      </c>
      <c r="H59" s="268">
        <f>IF(C59&gt;C61,2,IF(AND(C61=C59,C59&gt;0),1,0))</f>
        <v>2</v>
      </c>
      <c r="I59" s="268">
        <f>IF(D59&gt;D61,2,IF(AND(D61=D59,D59&gt;0),1,0))</f>
        <v>2</v>
      </c>
      <c r="J59" s="268">
        <f>IF(E59&gt;E61,2,IF(AND(E61=E59,E59&gt;0),1,0))</f>
        <v>0</v>
      </c>
      <c r="K59" s="268">
        <f>IF(F59&gt;F61,2,IF(AND(F61=F59,F59&gt;0),1,0))</f>
        <v>0</v>
      </c>
      <c r="L59" s="272">
        <f>SUM(G59:K60)</f>
        <v>6</v>
      </c>
      <c r="M59" s="9"/>
      <c r="AA59" s="9"/>
      <c r="AO59" s="9"/>
      <c r="BM59" s="7">
        <v>10</v>
      </c>
      <c r="BN59" s="7" t="str">
        <f>L61&amp;":"&amp;L59</f>
        <v>0:6</v>
      </c>
      <c r="BO59" s="7" t="str">
        <f>BO56</f>
        <v>1:5</v>
      </c>
      <c r="BP59" s="7" t="str">
        <f t="shared" ref="BP59:BP65" si="0">BP51</f>
        <v>5:3</v>
      </c>
    </row>
    <row r="60" spans="1:68" ht="6.75" customHeight="1" x14ac:dyDescent="0.2">
      <c r="A60" s="263"/>
      <c r="B60" s="264"/>
      <c r="C60" s="266"/>
      <c r="D60" s="266"/>
      <c r="E60" s="266"/>
      <c r="F60" s="266"/>
      <c r="G60" s="269"/>
      <c r="H60" s="269"/>
      <c r="I60" s="269"/>
      <c r="J60" s="269"/>
      <c r="K60" s="269"/>
      <c r="L60" s="273"/>
      <c r="M60" s="15"/>
      <c r="O60" s="254">
        <f ca="1">IF(B63="bye to the next round",A57,IF(AND(L59&gt;L61,L59&gt;4),A57,IF(AND(L61&gt;L59,L61&gt;4),A63,IF(AND(L59=5,L61=5),MIN(A57,A63)," "))))</f>
        <v>7</v>
      </c>
      <c r="P60" s="255" t="str">
        <f ca="1">IF(O60=" "," ",IFERROR(VLOOKUP(LARGE(INDIRECT(VLOOKUP($A$5,'Start List'!$J$9:$Q$14,Data!AP6+4,FALSE)),O60),IF(Data!AP6=2,'Start List'!$C$15:$V$139,'Start List'!$B$15:$V$139),IF(Data!AP6=2,2,3),FALSE),"bye to the next round"))</f>
        <v>Nedělník Josef</v>
      </c>
      <c r="Q60" s="256"/>
      <c r="R60" s="256"/>
      <c r="S60" s="256"/>
      <c r="T60" s="256"/>
      <c r="U60" s="256"/>
      <c r="V60" s="256"/>
      <c r="W60" s="256"/>
      <c r="X60" s="256"/>
      <c r="Y60" s="257"/>
      <c r="Z60" s="261" t="str">
        <f ca="1">IFERROR(VLOOKUP(LARGE(INDIRECT(VLOOKUP($A$5,'Start List'!$J$9:$Q$14,Data!AP6+4,FALSE)),Men!O60),IF(Data!AP6=2,'Start List'!$C$15:$V$139,'Start List'!$B$15:$V$139),IF(Data!AP6=2,6,7),FALSE)," ")</f>
        <v xml:space="preserve"> </v>
      </c>
      <c r="AA60" s="8"/>
      <c r="AO60" s="9"/>
      <c r="AQ60" s="254">
        <f ca="1">IF(AND(AN24&gt;AN26,AN24&gt;4),AC35,IF(AND(AN26&gt;AN24,AN26&gt;4),AC15,IF(AND(AN24=5,AN26=5),MAX(AC15,AC35)," ")))</f>
        <v>4</v>
      </c>
      <c r="AR60" s="255" t="str">
        <f ca="1">IF(AQ60=" "," ",IFERROR(VLOOKUP(LARGE(INDIRECT(VLOOKUP($A$5,'Start List'!$J$9:$Q$14,Data!AP6+4,FALSE)),AQ60),IF(Data!AP6=2,'Start List'!$C$15:$V$139,'Start List'!$B$15:$V$139),IF(Data!AP6=2,2,3),FALSE),"bye to the next round"))</f>
        <v>Sváb Sándor</v>
      </c>
      <c r="AS60" s="256"/>
      <c r="AT60" s="256"/>
      <c r="AU60" s="256"/>
      <c r="AV60" s="256"/>
      <c r="AW60" s="256"/>
      <c r="AX60" s="256"/>
      <c r="AY60" s="256"/>
      <c r="AZ60" s="256"/>
      <c r="BA60" s="257"/>
      <c r="BB60" s="261" t="str">
        <f ca="1">IFERROR(VLOOKUP(LARGE(INDIRECT(VLOOKUP($A$5,'Start List'!$J$9:$Q$14,Data!AP6+4,FALSE)),Men!AQ60),IF(Data!AP6=2,'Start List'!$C$15:$V$139,'Start List'!$B$15:$V$139),IF(Data!AP6=2,6,7),FALSE)," ")</f>
        <v xml:space="preserve"> </v>
      </c>
      <c r="BC60" s="16"/>
      <c r="BM60" s="7">
        <v>11</v>
      </c>
      <c r="BN60" s="7" t="str">
        <f>L81&amp;":"&amp;L79</f>
        <v>2:6</v>
      </c>
      <c r="BO60" s="7" t="str">
        <f>BO55</f>
        <v>1:5</v>
      </c>
      <c r="BP60" s="7" t="str">
        <f t="shared" si="0"/>
        <v>3:5</v>
      </c>
    </row>
    <row r="61" spans="1:68" ht="6.75" customHeight="1" thickBot="1" x14ac:dyDescent="0.25">
      <c r="A61" s="263">
        <f>VLOOKUP(VLOOKUP($A$5,'Start List'!$J$9:$Q$14,8,FALSE)&amp;A63,Data!$D$2:$H$97,2,FALSE)</f>
        <v>12</v>
      </c>
      <c r="B61" s="264">
        <v>25</v>
      </c>
      <c r="C61" s="266">
        <v>26</v>
      </c>
      <c r="D61" s="266">
        <v>26</v>
      </c>
      <c r="E61" s="266"/>
      <c r="F61" s="266"/>
      <c r="G61" s="268">
        <f>IF(B59&lt;B61,2,IF(AND(B61=B59,B61&gt;0),1,0))</f>
        <v>0</v>
      </c>
      <c r="H61" s="268">
        <f>IF(C59&lt;C61,2,IF(AND(C61=C59,C61&gt;0),1,0))</f>
        <v>0</v>
      </c>
      <c r="I61" s="268">
        <f>IF(D59&lt;D61,2,IF(AND(D61=D59,D61&gt;0),1,0))</f>
        <v>0</v>
      </c>
      <c r="J61" s="268">
        <f>IF(E59&lt;E61,2,IF(AND(E61=E59,E61&gt;0),1,0))</f>
        <v>0</v>
      </c>
      <c r="K61" s="268">
        <f>IF(F59&lt;F61,2,IF(AND(F61=F59,F61&gt;0),1,0))</f>
        <v>0</v>
      </c>
      <c r="L61" s="272">
        <f>SUM(G61:K62)</f>
        <v>0</v>
      </c>
      <c r="M61" s="15"/>
      <c r="N61" s="10"/>
      <c r="O61" s="254"/>
      <c r="P61" s="258"/>
      <c r="Q61" s="259"/>
      <c r="R61" s="259"/>
      <c r="S61" s="259"/>
      <c r="T61" s="259"/>
      <c r="U61" s="259"/>
      <c r="V61" s="259"/>
      <c r="W61" s="259"/>
      <c r="X61" s="259"/>
      <c r="Y61" s="260"/>
      <c r="Z61" s="262"/>
      <c r="AA61" s="13"/>
      <c r="AO61" s="9"/>
      <c r="AQ61" s="254"/>
      <c r="AR61" s="258"/>
      <c r="AS61" s="259"/>
      <c r="AT61" s="259"/>
      <c r="AU61" s="259"/>
      <c r="AV61" s="259"/>
      <c r="AW61" s="259"/>
      <c r="AX61" s="259"/>
      <c r="AY61" s="259"/>
      <c r="AZ61" s="259"/>
      <c r="BA61" s="260"/>
      <c r="BB61" s="262"/>
      <c r="BC61" s="9"/>
      <c r="BM61" s="7">
        <v>12</v>
      </c>
      <c r="BN61" s="7" t="str">
        <f>L41&amp;":"&amp;L39</f>
        <v>3:5</v>
      </c>
      <c r="BO61" s="7" t="str">
        <f>BO54</f>
        <v>2:6</v>
      </c>
      <c r="BP61" s="7" t="str">
        <f t="shared" si="0"/>
        <v>1:5</v>
      </c>
    </row>
    <row r="62" spans="1:68" ht="6.75" customHeight="1" thickBot="1" x14ac:dyDescent="0.25">
      <c r="A62" s="263"/>
      <c r="B62" s="265"/>
      <c r="C62" s="267"/>
      <c r="D62" s="267"/>
      <c r="E62" s="267"/>
      <c r="F62" s="267"/>
      <c r="G62" s="269"/>
      <c r="H62" s="269"/>
      <c r="I62" s="269"/>
      <c r="J62" s="269"/>
      <c r="K62" s="269"/>
      <c r="L62" s="273"/>
      <c r="M62" s="15"/>
      <c r="O62" s="7"/>
      <c r="AO62" s="9"/>
      <c r="BC62" s="26"/>
      <c r="BD62" s="5"/>
      <c r="BM62" s="7">
        <v>13</v>
      </c>
      <c r="BN62" s="7" t="str">
        <f>L31&amp;":"&amp;L29</f>
        <v>1:7</v>
      </c>
      <c r="BO62" s="7" t="str">
        <f>BO53</f>
        <v>6:2</v>
      </c>
      <c r="BP62" s="7" t="str">
        <f t="shared" si="0"/>
        <v>1:5</v>
      </c>
    </row>
    <row r="63" spans="1:68" ht="6.75" customHeight="1" x14ac:dyDescent="0.2">
      <c r="A63" s="254">
        <v>10</v>
      </c>
      <c r="B63" s="255" t="str">
        <f ca="1">IF(A63=" "," ",IFERROR(VLOOKUP(LARGE(INDIRECT(VLOOKUP($A$5,'Start List'!$J$9:$Q$14,Data!AP6+4,FALSE)),A63),IF(Data!AP6=2,'Start List'!$C$15:$V$139,'Start List'!$B$15:$V$139),IF(Data!AP6=2,2,3),FALSE),"bye to the next round"))</f>
        <v>Vyskočil Denis</v>
      </c>
      <c r="C63" s="256"/>
      <c r="D63" s="256"/>
      <c r="E63" s="256"/>
      <c r="F63" s="256"/>
      <c r="G63" s="256"/>
      <c r="H63" s="256"/>
      <c r="I63" s="256"/>
      <c r="J63" s="256"/>
      <c r="K63" s="257"/>
      <c r="L63" s="261" t="str">
        <f ca="1">IFERROR(VLOOKUP(LARGE(INDIRECT(VLOOKUP($A$5,'Start List'!$J$9:$Q$14,Data!AP6+4,FALSE)),Men!A63),IF(Data!AP6=2,'Start List'!$C$15:$V$139,'Start List'!$B$15:$V$139),IF(Data!AP6=2,6,7),FALSE)," ")</f>
        <v xml:space="preserve"> </v>
      </c>
      <c r="M63" s="8"/>
      <c r="O63" s="7"/>
      <c r="AO63" s="9"/>
      <c r="BC63" s="9"/>
      <c r="BM63" s="7">
        <v>14</v>
      </c>
      <c r="BN63" s="7" t="str">
        <f>L71&amp;":"&amp;L69</f>
        <v>2:6</v>
      </c>
      <c r="BO63" s="7" t="str">
        <f>BO52</f>
        <v>5:1</v>
      </c>
      <c r="BP63" s="7" t="str">
        <f t="shared" si="0"/>
        <v>3:5</v>
      </c>
    </row>
    <row r="64" spans="1:68" ht="6.75" customHeight="1" thickBot="1" x14ac:dyDescent="0.25">
      <c r="A64" s="254"/>
      <c r="B64" s="258"/>
      <c r="C64" s="259"/>
      <c r="D64" s="259"/>
      <c r="E64" s="259"/>
      <c r="F64" s="259"/>
      <c r="G64" s="259"/>
      <c r="H64" s="259"/>
      <c r="I64" s="259"/>
      <c r="J64" s="259"/>
      <c r="K64" s="260"/>
      <c r="L64" s="262"/>
      <c r="M64" s="13"/>
      <c r="AC64" s="263">
        <f>VLOOKUP(VLOOKUP($A$5,'Start List'!$J$9:$Q$14,8,FALSE)&amp;A47,Data!$D$2:$H$97,4,FALSE)</f>
        <v>2</v>
      </c>
      <c r="AD64" s="266">
        <v>29</v>
      </c>
      <c r="AE64" s="266">
        <v>28</v>
      </c>
      <c r="AF64" s="266">
        <v>30</v>
      </c>
      <c r="AG64" s="266">
        <v>30</v>
      </c>
      <c r="AH64" s="266"/>
      <c r="AI64" s="269">
        <f>IF(AD64&gt;AD66,2,IF(AND(AD66=AD64,AD64&gt;0),1,0))</f>
        <v>2</v>
      </c>
      <c r="AJ64" s="269">
        <f>IF(AE64&gt;AE66,2,IF(AND(AE66=AE64,AE64&gt;0),1,0))</f>
        <v>0</v>
      </c>
      <c r="AK64" s="269">
        <f>IF(AF64&gt;AF66,2,IF(AND(AF66=AF64,AF64&gt;0),1,0))</f>
        <v>1</v>
      </c>
      <c r="AL64" s="269">
        <f>IF(AG64&gt;AG66,2,IF(AND(AG66=AG64,AG64&gt;0),1,0))</f>
        <v>2</v>
      </c>
      <c r="AM64" s="269">
        <f>IF(AH64&gt;AH66,2,IF(AND(AH66=AH64,AH64&gt;0),1,0))</f>
        <v>0</v>
      </c>
      <c r="AN64" s="277">
        <f>SUM(AI64:AM65)</f>
        <v>5</v>
      </c>
      <c r="AO64" s="9"/>
      <c r="AQ64" s="263">
        <f>VLOOKUP(VLOOKUP($A$5,'Start List'!$J$9:$Q$14,8,FALSE)&amp;A7,Data!$D$2:$H$97,5,FALSE)</f>
        <v>10</v>
      </c>
      <c r="AR64" s="266">
        <v>28</v>
      </c>
      <c r="AS64" s="266">
        <v>28</v>
      </c>
      <c r="AT64" s="266">
        <v>27</v>
      </c>
      <c r="AU64" s="266"/>
      <c r="AV64" s="266"/>
      <c r="AW64" s="269">
        <f>IF(AR64&gt;AR66,2,IF(AND(AR66=AR64,AR64&gt;0),1,0))</f>
        <v>0</v>
      </c>
      <c r="AX64" s="269">
        <f>IF(AS64&gt;AS66,2,IF(AND(AS66=AS64,AS64&gt;0),1,0))</f>
        <v>0</v>
      </c>
      <c r="AY64" s="269">
        <f>IF(AT64&gt;AT66,2,IF(AND(AT66=AT64,AT64&gt;0),1,0))</f>
        <v>1</v>
      </c>
      <c r="AZ64" s="269">
        <f>IF(AU64&gt;AU66,2,IF(AND(AU66=AU64,AU64&gt;0),1,0))</f>
        <v>0</v>
      </c>
      <c r="BA64" s="269">
        <f>IF(AV64&gt;AV66,2,IF(AND(AV66=AV64,AV64&gt;0),1,0))</f>
        <v>0</v>
      </c>
      <c r="BB64" s="277">
        <f>SUM(AW64:BA65)</f>
        <v>1</v>
      </c>
      <c r="BC64" s="9"/>
      <c r="BM64" s="7">
        <v>15</v>
      </c>
      <c r="BN64" s="7" t="str">
        <f>L51&amp;":"&amp;L49</f>
        <v>1:5</v>
      </c>
      <c r="BO64" s="7" t="str">
        <f>BO51</f>
        <v>5:1</v>
      </c>
      <c r="BP64" s="7" t="str">
        <f t="shared" si="0"/>
        <v>5:3</v>
      </c>
    </row>
    <row r="65" spans="1:72" ht="6.75" customHeight="1" x14ac:dyDescent="0.2">
      <c r="A65" s="30"/>
      <c r="AC65" s="263"/>
      <c r="AD65" s="266"/>
      <c r="AE65" s="266"/>
      <c r="AF65" s="266"/>
      <c r="AG65" s="266"/>
      <c r="AH65" s="266"/>
      <c r="AI65" s="269"/>
      <c r="AJ65" s="269"/>
      <c r="AK65" s="269"/>
      <c r="AL65" s="269"/>
      <c r="AM65" s="269"/>
      <c r="AN65" s="277"/>
      <c r="AO65" s="9"/>
      <c r="AQ65" s="263"/>
      <c r="AR65" s="266"/>
      <c r="AS65" s="266"/>
      <c r="AT65" s="266"/>
      <c r="AU65" s="266"/>
      <c r="AV65" s="266"/>
      <c r="AW65" s="269"/>
      <c r="AX65" s="269"/>
      <c r="AY65" s="269"/>
      <c r="AZ65" s="269"/>
      <c r="BA65" s="269"/>
      <c r="BB65" s="277"/>
      <c r="BC65" s="15"/>
      <c r="BE65" s="254">
        <f ca="1">IF(AND(BB64&gt;BB66,BB64&gt;4),AQ60,IF(AND(BB66&gt;BB64,BB66&gt;4),AQ70,IF(AND(BB64=5,BB66=5),MIN(AQ60,AQ70)," ")))</f>
        <v>3</v>
      </c>
      <c r="BF65" s="279" t="str">
        <f ca="1">IF(BE65=" "," ",IFERROR(VLOOKUP(LARGE(INDIRECT(VLOOKUP($A$5,'Start List'!$J$9:$Q$14,Data!AP6+4,FALSE)),BE65),IF(Data!AP6=2,'Start List'!$C$15:$V$139,'Start List'!$B$15:$V$139),IF(Data!AP6=2,2,3),FALSE),"bye to the next round"))</f>
        <v>Oborovečki Martin</v>
      </c>
      <c r="BG65" s="256"/>
      <c r="BH65" s="256"/>
      <c r="BI65" s="256"/>
      <c r="BJ65" s="257"/>
      <c r="BK65" s="261" t="str">
        <f ca="1">IFERROR(VLOOKUP(LARGE(INDIRECT(VLOOKUP($A$5,'Start List'!$J$9:$Q$14,Data!AP6+4,FALSE)),BE65),IF(Data!AP6=2,'Start List'!$C$15:$V$139,'Start List'!$B$15:$V$139),IF(Data!AP6=2,6,7),FALSE)," ")</f>
        <v xml:space="preserve"> </v>
      </c>
      <c r="BM65" s="7">
        <v>16</v>
      </c>
      <c r="BN65" s="7" t="str">
        <f>L11&amp;":"&amp;L9</f>
        <v>0:6</v>
      </c>
      <c r="BO65" s="7" t="str">
        <f>BO50</f>
        <v>6:0</v>
      </c>
      <c r="BP65" s="7" t="str">
        <f t="shared" si="0"/>
        <v>5:1</v>
      </c>
    </row>
    <row r="66" spans="1:72" ht="6.75" customHeight="1" thickBot="1"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63">
        <f>VLOOKUP(VLOOKUP($A$5,'Start List'!$J$9:$Q$14,8,FALSE)&amp;A83,Data!$D$2:$H$97,4,FALSE)</f>
        <v>3</v>
      </c>
      <c r="AD66" s="266">
        <v>27</v>
      </c>
      <c r="AE66" s="266">
        <v>29</v>
      </c>
      <c r="AF66" s="266">
        <v>30</v>
      </c>
      <c r="AG66" s="266">
        <v>27</v>
      </c>
      <c r="AH66" s="266"/>
      <c r="AI66" s="269">
        <f>IF(AD64&lt;AD66,2,IF(AND(AD66=AD64,AD66&gt;0),1,0))</f>
        <v>0</v>
      </c>
      <c r="AJ66" s="269">
        <f>IF(AE64&lt;AE66,2,IF(AND(AE66=AE64,AE66&gt;0),1,0))</f>
        <v>2</v>
      </c>
      <c r="AK66" s="269">
        <f>IF(AF64&lt;AF66,2,IF(AND(AF66=AF64,AF66&gt;0),1,0))</f>
        <v>1</v>
      </c>
      <c r="AL66" s="269">
        <f>IF(AG64&lt;AG66,2,IF(AND(AG66=AG64,AG66&gt;0),1,0))</f>
        <v>0</v>
      </c>
      <c r="AM66" s="269">
        <f>IF(AH64&lt;AH66,2,IF(AND(AH66=AH64,AH66&gt;0),1,0))</f>
        <v>0</v>
      </c>
      <c r="AN66" s="277">
        <f>SUM(AI66:AM67)</f>
        <v>3</v>
      </c>
      <c r="AO66" s="9"/>
      <c r="AP66" s="24"/>
      <c r="AQ66" s="263">
        <f>VLOOKUP(VLOOKUP($A$5,'Start List'!$J$9:$Q$14,8,FALSE)&amp;A47,Data!$D$2:$H$97,5,FALSE)</f>
        <v>11</v>
      </c>
      <c r="AR66" s="266">
        <v>29</v>
      </c>
      <c r="AS66" s="266">
        <v>30</v>
      </c>
      <c r="AT66" s="266">
        <v>27</v>
      </c>
      <c r="AU66" s="266"/>
      <c r="AV66" s="266"/>
      <c r="AW66" s="269">
        <f>IF(AR64&lt;AR66,2,IF(AND(AR66=AR64,AR66&gt;0),1,0))</f>
        <v>2</v>
      </c>
      <c r="AX66" s="269">
        <f>IF(AS64&lt;AS66,2,IF(AND(AS66=AS64,AS66&gt;0),1,0))</f>
        <v>2</v>
      </c>
      <c r="AY66" s="269">
        <f>IF(AT64&lt;AT66,2,IF(AND(AT66=AT64,AT66&gt;0),1,0))</f>
        <v>1</v>
      </c>
      <c r="AZ66" s="269">
        <f>IF(AU64&lt;AU66,2,IF(AND(AU66=AU64,AU66&gt;0),1,0))</f>
        <v>0</v>
      </c>
      <c r="BA66" s="269">
        <f>IF(AV64&lt;AV66,2,IF(AND(AV66=AV64,AV66&gt;0),1,0))</f>
        <v>0</v>
      </c>
      <c r="BB66" s="277">
        <f>SUM(AW66:BA67)</f>
        <v>5</v>
      </c>
      <c r="BC66" s="15"/>
      <c r="BD66" s="10"/>
      <c r="BE66" s="254"/>
      <c r="BF66" s="258"/>
      <c r="BG66" s="259"/>
      <c r="BH66" s="259"/>
      <c r="BI66" s="259"/>
      <c r="BJ66" s="260"/>
      <c r="BK66" s="262"/>
    </row>
    <row r="67" spans="1:72" ht="6.75" customHeight="1" x14ac:dyDescent="0.2">
      <c r="A67" s="254">
        <v>3</v>
      </c>
      <c r="B67" s="255" t="str">
        <f ca="1">IF(A67=" "," ",IFERROR(VLOOKUP(LARGE(INDIRECT(VLOOKUP($A$5,'Start List'!$J$9:$Q$14,Data!AP6+4,FALSE)),A67),IF(Data!AP6=2,'Start List'!$C$15:$V$139,'Start List'!$B$15:$V$139),IF(Data!AP6=2,2,3),FALSE),"bye to the next round"))</f>
        <v>Oborovečki Martin</v>
      </c>
      <c r="C67" s="256"/>
      <c r="D67" s="256"/>
      <c r="E67" s="256"/>
      <c r="F67" s="256"/>
      <c r="G67" s="256"/>
      <c r="H67" s="256"/>
      <c r="I67" s="256"/>
      <c r="J67" s="256"/>
      <c r="K67" s="257"/>
      <c r="L67" s="261" t="str">
        <f ca="1">IFERROR(VLOOKUP(LARGE(INDIRECT(VLOOKUP($A$5,'Start List'!$J$9:$Q$14,Data!AP6+4,FALSE)),Men!A67),IF(Data!AP6=2,'Start List'!$C$15:$V$139,'Start List'!$B$15:$V$139),IF(Data!AP6=2,6,7),FALSE)," ")</f>
        <v xml:space="preserve"> </v>
      </c>
      <c r="M67" s="2"/>
      <c r="N67" s="5"/>
      <c r="O67" s="11"/>
      <c r="P67" s="1"/>
      <c r="Q67" s="1"/>
      <c r="R67" s="1"/>
      <c r="S67" s="1"/>
      <c r="T67" s="1"/>
      <c r="U67" s="1"/>
      <c r="V67" s="1"/>
      <c r="W67" s="1"/>
      <c r="X67" s="1"/>
      <c r="Y67" s="1"/>
      <c r="Z67" s="1"/>
      <c r="AA67" s="1"/>
      <c r="AB67" s="1"/>
      <c r="AC67" s="263"/>
      <c r="AD67" s="266"/>
      <c r="AE67" s="266"/>
      <c r="AF67" s="266"/>
      <c r="AG67" s="266"/>
      <c r="AH67" s="266"/>
      <c r="AI67" s="269"/>
      <c r="AJ67" s="269"/>
      <c r="AK67" s="269"/>
      <c r="AL67" s="269"/>
      <c r="AM67" s="269"/>
      <c r="AN67" s="277"/>
      <c r="AO67" s="9"/>
      <c r="AQ67" s="263"/>
      <c r="AR67" s="266"/>
      <c r="AS67" s="266"/>
      <c r="AT67" s="266"/>
      <c r="AU67" s="266"/>
      <c r="AV67" s="266"/>
      <c r="AW67" s="269"/>
      <c r="AX67" s="269"/>
      <c r="AY67" s="269"/>
      <c r="AZ67" s="269"/>
      <c r="BA67" s="269"/>
      <c r="BB67" s="277"/>
      <c r="BC67" s="15"/>
    </row>
    <row r="68" spans="1:72" ht="6.75" customHeight="1" thickBot="1" x14ac:dyDescent="0.25">
      <c r="A68" s="270"/>
      <c r="B68" s="258"/>
      <c r="C68" s="259"/>
      <c r="D68" s="259"/>
      <c r="E68" s="259"/>
      <c r="F68" s="259"/>
      <c r="G68" s="259"/>
      <c r="H68" s="259"/>
      <c r="I68" s="259"/>
      <c r="J68" s="259"/>
      <c r="K68" s="260"/>
      <c r="L68" s="262"/>
      <c r="M68" s="14"/>
      <c r="AO68" s="9"/>
      <c r="AQ68" s="23"/>
      <c r="BC68" s="9"/>
    </row>
    <row r="69" spans="1:72" ht="6.75" customHeight="1" thickBot="1" x14ac:dyDescent="0.25">
      <c r="A69" s="263">
        <f>VLOOKUP(VLOOKUP($A$5,'Start List'!$J$9:$Q$14,8,FALSE)&amp;A67,Data!$D$2:$H$97,2,FALSE)</f>
        <v>13</v>
      </c>
      <c r="B69" s="274">
        <v>29</v>
      </c>
      <c r="C69" s="271">
        <v>25</v>
      </c>
      <c r="D69" s="271">
        <v>29</v>
      </c>
      <c r="E69" s="271">
        <v>29</v>
      </c>
      <c r="F69" s="271"/>
      <c r="G69" s="268">
        <f>IF(B69&gt;B71,2,IF(AND(B71=B69,B69&gt;0),1,0))</f>
        <v>2</v>
      </c>
      <c r="H69" s="268">
        <f>IF(C69&gt;C71,2,IF(AND(C71=C69,C69&gt;0),1,0))</f>
        <v>0</v>
      </c>
      <c r="I69" s="268">
        <f>IF(D69&gt;D71,2,IF(AND(D71=D69,D69&gt;0),1,0))</f>
        <v>2</v>
      </c>
      <c r="J69" s="268">
        <f>IF(E69&gt;E71,2,IF(AND(E71=E69,E69&gt;0),1,0))</f>
        <v>2</v>
      </c>
      <c r="K69" s="268">
        <f>IF(F69&gt;F71,2,IF(AND(F71=F69,F69&gt;0),1,0))</f>
        <v>0</v>
      </c>
      <c r="L69" s="272">
        <f>SUM(G69:K70)</f>
        <v>6</v>
      </c>
      <c r="M69" s="9"/>
      <c r="AO69" s="9"/>
      <c r="BC69" s="9"/>
      <c r="BE69" s="3"/>
    </row>
    <row r="70" spans="1:72" ht="6.75" customHeight="1" x14ac:dyDescent="0.2">
      <c r="A70" s="263"/>
      <c r="B70" s="264"/>
      <c r="C70" s="266"/>
      <c r="D70" s="266"/>
      <c r="E70" s="266"/>
      <c r="F70" s="266"/>
      <c r="G70" s="269"/>
      <c r="H70" s="269"/>
      <c r="I70" s="269"/>
      <c r="J70" s="269"/>
      <c r="K70" s="269"/>
      <c r="L70" s="273"/>
      <c r="M70" s="15"/>
      <c r="O70" s="254">
        <f ca="1">IF(B73="bye to the next round",A67,IF(AND(L69&gt;L71,L69&gt;4),A67,IF(AND(L71&gt;L69,L71&gt;4),A73,IF(AND(L69=5,L71=5),MIN(A67,A73)," "))))</f>
        <v>3</v>
      </c>
      <c r="P70" s="255" t="str">
        <f ca="1">IF(O70=" "," ",IFERROR(VLOOKUP(LARGE(INDIRECT(VLOOKUP($A$5,'Start List'!$J$9:$Q$14,Data!AP6+4,FALSE)),O70),IF(Data!AP6=2,'Start List'!$C$15:$V$139,'Start List'!$B$15:$V$139),IF(Data!AP6=2,2,3),FALSE),"bye to the next round"))</f>
        <v>Oborovečki Martin</v>
      </c>
      <c r="Q70" s="256"/>
      <c r="R70" s="256"/>
      <c r="S70" s="256"/>
      <c r="T70" s="256"/>
      <c r="U70" s="256"/>
      <c r="V70" s="256"/>
      <c r="W70" s="256"/>
      <c r="X70" s="256"/>
      <c r="Y70" s="257"/>
      <c r="Z70" s="261" t="str">
        <f ca="1">IFERROR(VLOOKUP(LARGE(INDIRECT(VLOOKUP($A$5,'Start List'!$J$9:$Q$14,Data!AP6+4,FALSE)),Men!O70),IF(Data!AP6=2,'Start List'!$C$15:$V$139,'Start List'!$B$15:$V$139),IF(Data!AP6=2,6,7),FALSE)," ")</f>
        <v xml:space="preserve"> </v>
      </c>
      <c r="AA70" s="16"/>
      <c r="AO70" s="9"/>
      <c r="AQ70" s="254">
        <f ca="1">IF(AND(AN64&gt;AN66,AN64&gt;4),AC75,IF(AND(AN66&gt;AN64,AN66&gt;4),AC55,IF(AND(AN64=5,AN66=5),MAX(AC55,AC75)," ")))</f>
        <v>3</v>
      </c>
      <c r="AR70" s="255" t="str">
        <f ca="1">IF(AQ70=" "," ",IFERROR(VLOOKUP(LARGE(INDIRECT(VLOOKUP($A$5,'Start List'!$J$9:$Q$14,Data!AP6+4,FALSE)),AQ70),IF(Data!AP6=2,'Start List'!$C$15:$V$139,'Start List'!$B$15:$V$139),IF(Data!AP6=2,2,3),FALSE),"bye to the next round"))</f>
        <v>Oborovečki Martin</v>
      </c>
      <c r="AS70" s="256"/>
      <c r="AT70" s="256"/>
      <c r="AU70" s="256"/>
      <c r="AV70" s="256"/>
      <c r="AW70" s="256"/>
      <c r="AX70" s="256"/>
      <c r="AY70" s="256"/>
      <c r="AZ70" s="256"/>
      <c r="BA70" s="257"/>
      <c r="BB70" s="261" t="str">
        <f ca="1">IFERROR(VLOOKUP(LARGE(INDIRECT(VLOOKUP($A$5,'Start List'!$J$9:$Q$14,Data!AP6+4,FALSE)),Men!AQ70),IF(Data!AP6=2,'Start List'!$C$15:$V$139,'Start List'!$B$15:$V$139),IF(Data!AP6=2,6,7),FALSE)," ")</f>
        <v xml:space="preserve"> </v>
      </c>
      <c r="BC70" s="8"/>
    </row>
    <row r="71" spans="1:72" ht="6.75" customHeight="1" thickBot="1" x14ac:dyDescent="0.25">
      <c r="A71" s="263">
        <f>VLOOKUP(VLOOKUP($A$5,'Start List'!$J$9:$Q$14,8,FALSE)&amp;A73,Data!$D$2:$H$97,2,FALSE)</f>
        <v>14</v>
      </c>
      <c r="B71" s="264">
        <v>26</v>
      </c>
      <c r="C71" s="266">
        <v>28</v>
      </c>
      <c r="D71" s="266">
        <v>27</v>
      </c>
      <c r="E71" s="266">
        <v>26</v>
      </c>
      <c r="F71" s="266"/>
      <c r="G71" s="268">
        <f>IF(B69&lt;B71,2,IF(AND(B71=B69,B71&gt;0),1,0))</f>
        <v>0</v>
      </c>
      <c r="H71" s="268">
        <f>IF(C69&lt;C71,2,IF(AND(C71=C69,C71&gt;0),1,0))</f>
        <v>2</v>
      </c>
      <c r="I71" s="268">
        <f>IF(D69&lt;D71,2,IF(AND(D71=D69,D71&gt;0),1,0))</f>
        <v>0</v>
      </c>
      <c r="J71" s="268">
        <f>IF(E69&lt;E71,2,IF(AND(E71=E69,E71&gt;0),1,0))</f>
        <v>0</v>
      </c>
      <c r="K71" s="268">
        <f>IF(F69&lt;F71,2,IF(AND(F71=F69,F71&gt;0),1,0))</f>
        <v>0</v>
      </c>
      <c r="L71" s="272">
        <f>SUM(G71:K72)</f>
        <v>2</v>
      </c>
      <c r="M71" s="15"/>
      <c r="N71" s="10"/>
      <c r="O71" s="254"/>
      <c r="P71" s="258"/>
      <c r="Q71" s="259"/>
      <c r="R71" s="259"/>
      <c r="S71" s="259"/>
      <c r="T71" s="259"/>
      <c r="U71" s="259"/>
      <c r="V71" s="259"/>
      <c r="W71" s="259"/>
      <c r="X71" s="259"/>
      <c r="Y71" s="260"/>
      <c r="Z71" s="262"/>
      <c r="AA71" s="12"/>
      <c r="AO71" s="9"/>
      <c r="AQ71" s="254"/>
      <c r="AR71" s="258"/>
      <c r="AS71" s="259"/>
      <c r="AT71" s="259"/>
      <c r="AU71" s="259"/>
      <c r="AV71" s="259"/>
      <c r="AW71" s="259"/>
      <c r="AX71" s="259"/>
      <c r="AY71" s="259"/>
      <c r="AZ71" s="259"/>
      <c r="BA71" s="260"/>
      <c r="BB71" s="262"/>
      <c r="BC71" s="13"/>
    </row>
    <row r="72" spans="1:72" ht="6.75" customHeight="1" thickBot="1" x14ac:dyDescent="0.25">
      <c r="A72" s="263"/>
      <c r="B72" s="265"/>
      <c r="C72" s="267"/>
      <c r="D72" s="267"/>
      <c r="E72" s="267"/>
      <c r="F72" s="267"/>
      <c r="G72" s="269"/>
      <c r="H72" s="269"/>
      <c r="I72" s="269"/>
      <c r="J72" s="269"/>
      <c r="K72" s="269"/>
      <c r="L72" s="273"/>
      <c r="M72" s="15"/>
      <c r="O72" s="7"/>
      <c r="AA72" s="9"/>
      <c r="AO72" s="9"/>
    </row>
    <row r="73" spans="1:72" ht="6.75" customHeight="1" x14ac:dyDescent="0.2">
      <c r="A73" s="254">
        <v>14</v>
      </c>
      <c r="B73" s="255" t="str">
        <f ca="1">IF(A73=" "," ",IFERROR(VLOOKUP(LARGE(INDIRECT(VLOOKUP($A$5,'Start List'!$J$9:$Q$14,Data!AP6+4,FALSE)),A73),IF(Data!AP6=2,'Start List'!$C$15:$V$139,'Start List'!$B$15:$V$139),IF(Data!AP6=2,2,3),FALSE),"bye to the next round"))</f>
        <v>Baborák František</v>
      </c>
      <c r="C73" s="256"/>
      <c r="D73" s="256"/>
      <c r="E73" s="256"/>
      <c r="F73" s="256"/>
      <c r="G73" s="256"/>
      <c r="H73" s="256"/>
      <c r="I73" s="256"/>
      <c r="J73" s="256"/>
      <c r="K73" s="257"/>
      <c r="L73" s="261" t="str">
        <f ca="1">IFERROR(VLOOKUP(LARGE(INDIRECT(VLOOKUP($A$5,'Start List'!$J$9:$Q$14,Data!AP6+4,FALSE)),Men!A73),IF(Data!AP6=2,'Start List'!$C$15:$V$139,'Start List'!$B$15:$V$139),IF(Data!AP6=2,6,7),FALSE)," ")</f>
        <v xml:space="preserve"> </v>
      </c>
      <c r="M73" s="8"/>
      <c r="O73" s="7"/>
      <c r="AA73" s="9"/>
      <c r="AO73" s="9"/>
      <c r="BM73" s="200">
        <v>1</v>
      </c>
      <c r="BN73" s="200" t="str">
        <f ca="1">IF($BF$42&lt;&gt;" ",VLOOKUP(LARGE(INDIRECT(VLOOKUP($A$5,'Start List'!$J$9:$Q$14,Data!AP6+4,FALSE)),BO73),IF(Data!AP6=2,'Start List'!$C$15:$V$139,'Start List'!$B$15:$V$139),IF(Data!AP6=2,2,3),FALSE),"")</f>
        <v>Korbař Bohumil</v>
      </c>
      <c r="BO73" s="201">
        <f ca="1">BE25</f>
        <v>1</v>
      </c>
      <c r="BP73" s="202" t="str">
        <f t="shared" ref="BP73:BP88" ca="1" si="1">VLOOKUP(BO73,$BM$50:$BP$65,2,FALSE)</f>
        <v>6:0</v>
      </c>
      <c r="BQ73" s="202" t="str">
        <f t="shared" ref="BQ73:BQ80" ca="1" si="2">VLOOKUP(BO73,$BM$50:$BP$65,3,FALSE)</f>
        <v>6:0</v>
      </c>
      <c r="BR73" s="202" t="str">
        <f ca="1">VLOOKUP(BO73,$BM$50:$BP$65,4,FALSE)</f>
        <v>5:1</v>
      </c>
      <c r="BS73" s="200" t="str">
        <f>LARGE($BB$24:$BB$27,1)&amp;":"&amp;SMALL($BB$24:$BB$27,1)</f>
        <v>5:5</v>
      </c>
      <c r="BT73" s="200"/>
    </row>
    <row r="74" spans="1:72" ht="6.75" customHeight="1" thickBot="1" x14ac:dyDescent="0.25">
      <c r="A74" s="254"/>
      <c r="B74" s="258"/>
      <c r="C74" s="259"/>
      <c r="D74" s="259"/>
      <c r="E74" s="259"/>
      <c r="F74" s="259"/>
      <c r="G74" s="259"/>
      <c r="H74" s="259"/>
      <c r="I74" s="259"/>
      <c r="J74" s="259"/>
      <c r="K74" s="260"/>
      <c r="L74" s="262"/>
      <c r="M74" s="13"/>
      <c r="O74" s="263">
        <f>VLOOKUP(VLOOKUP($A$5,'Start List'!$J$9:$Q$14,8,FALSE)&amp;A67,Data!$D$2:$H$97,3,FALSE)</f>
        <v>7</v>
      </c>
      <c r="P74" s="264">
        <v>29</v>
      </c>
      <c r="Q74" s="266">
        <v>29</v>
      </c>
      <c r="R74" s="266">
        <v>29</v>
      </c>
      <c r="S74" s="266"/>
      <c r="T74" s="266"/>
      <c r="U74" s="269">
        <f>IF(P74&gt;P76,2,IF(AND(P76=P74,P74&gt;0),1,0))</f>
        <v>2</v>
      </c>
      <c r="V74" s="269">
        <f>IF(Q74&gt;Q76,2,IF(AND(Q76=Q74,Q74&gt;0),1,0))</f>
        <v>1</v>
      </c>
      <c r="W74" s="269">
        <f>IF(R74&gt;R76,2,IF(AND(R76=R74,R74&gt;0),1,0))</f>
        <v>2</v>
      </c>
      <c r="X74" s="269">
        <f>IF(S74&gt;S76,2,IF(AND(S76=S74,S74&gt;0),1,0))</f>
        <v>0</v>
      </c>
      <c r="Y74" s="269">
        <f>IF(T74&gt;T76,2,IF(AND(T76=T74,T74&gt;0),1,0))</f>
        <v>0</v>
      </c>
      <c r="Z74" s="277">
        <f>SUM(U74:Y75)</f>
        <v>5</v>
      </c>
      <c r="AA74" s="9"/>
      <c r="AO74" s="9"/>
      <c r="BM74" s="200">
        <v>2</v>
      </c>
      <c r="BN74" s="200" t="str">
        <f ca="1">IF($BF$42&lt;&gt;" ",VLOOKUP(LARGE(INDIRECT(VLOOKUP($A$5,'Start List'!$J$9:$Q$14,Data!AP6+4,FALSE)),BO74),IF(Data!AP6=2,'Start List'!$C$15:$V$139,'Start List'!$B$15:$V$139),IF(Data!AP6=2,2,3),FALSE),"")</f>
        <v>Pereglin Domagoj</v>
      </c>
      <c r="BO74" s="201">
        <f ca="1">IF(AQ20=BE25,AQ30,AQ20)</f>
        <v>2</v>
      </c>
      <c r="BP74" s="202" t="str">
        <f t="shared" ca="1" si="1"/>
        <v>5:1</v>
      </c>
      <c r="BQ74" s="202" t="str">
        <f t="shared" ca="1" si="2"/>
        <v>5:1</v>
      </c>
      <c r="BR74" s="202" t="str">
        <f t="shared" ref="BR74:BR76" ca="1" si="3">VLOOKUP(BO74,$BM$50:$BP$65,4,FALSE)</f>
        <v>5:3</v>
      </c>
      <c r="BS74" s="200" t="str">
        <f>SMALL($BB$24:$BB$27,1)&amp;":"&amp;LARGE($BB$24:$BB$27,1)</f>
        <v>5:5</v>
      </c>
      <c r="BT74" s="200"/>
    </row>
    <row r="75" spans="1:72" ht="6.75" customHeight="1" x14ac:dyDescent="0.2">
      <c r="A75" s="30"/>
      <c r="O75" s="263"/>
      <c r="P75" s="264"/>
      <c r="Q75" s="266"/>
      <c r="R75" s="266"/>
      <c r="S75" s="266"/>
      <c r="T75" s="266"/>
      <c r="U75" s="269"/>
      <c r="V75" s="269"/>
      <c r="W75" s="269"/>
      <c r="X75" s="269"/>
      <c r="Y75" s="269"/>
      <c r="Z75" s="277"/>
      <c r="AA75" s="9"/>
      <c r="AC75" s="254">
        <f ca="1">IF(P80="bye to the next round",O70,IF(AND(Z74&gt;Z76,Z74&gt;4),O70,IF(AND(Z76&gt;Z74,Z76&gt;4),O80,IF(AND(Z74=5,Z76=5),MIN(O70,O80)," "))))</f>
        <v>3</v>
      </c>
      <c r="AD75" s="292" t="str">
        <f ca="1">IF(AC75=" "," ",IFERROR(VLOOKUP(LARGE(INDIRECT(VLOOKUP($A$5,'Start List'!$J$9:$Q$14,Data!AP6+4,FALSE)),AC75),IF(Data!AP6=2,'Start List'!$C$15:$V$139,'Start List'!$B$15:$V$139),IF(Data!AP6=2,2,3),FALSE),"bye to the next round"))</f>
        <v>Oborovečki Martin</v>
      </c>
      <c r="AE75" s="293"/>
      <c r="AF75" s="293"/>
      <c r="AG75" s="293"/>
      <c r="AH75" s="293"/>
      <c r="AI75" s="293"/>
      <c r="AJ75" s="293"/>
      <c r="AK75" s="293"/>
      <c r="AL75" s="293"/>
      <c r="AM75" s="294"/>
      <c r="AN75" s="261" t="str">
        <f ca="1">IFERROR(VLOOKUP(LARGE(INDIRECT(VLOOKUP($A$5,'Start List'!$J$9:$Q$14,Data!AP6+4,FALSE)),Men!AC75),IF(Data!AP6=2,'Start List'!$C$15:$V$139,'Start List'!$B$15:$V$139),IF(Data!AP6=2,6,7),FALSE)," ")</f>
        <v xml:space="preserve"> </v>
      </c>
      <c r="AO75" s="8"/>
      <c r="BM75" s="200">
        <v>3</v>
      </c>
      <c r="BN75" s="200" t="str">
        <f ca="1">IF($BF$42&lt;&gt;" ",VLOOKUP(LARGE(INDIRECT(VLOOKUP($A$5,'Start List'!$J$9:$Q$14,Data!AP6+4,FALSE)),BO75),IF(Data!AP6=2,'Start List'!$C$15:$V$139,'Start List'!$B$15:$V$139),IF(Data!AP6=2,2,3),FALSE),"")</f>
        <v>Oborovečki Martin</v>
      </c>
      <c r="BO75" s="201">
        <f ca="1">BE65</f>
        <v>3</v>
      </c>
      <c r="BP75" s="202" t="str">
        <f t="shared" ca="1" si="1"/>
        <v>6:2</v>
      </c>
      <c r="BQ75" s="202" t="str">
        <f t="shared" ca="1" si="2"/>
        <v>5:1</v>
      </c>
      <c r="BR75" s="202" t="str">
        <f t="shared" ca="1" si="3"/>
        <v>3:5</v>
      </c>
      <c r="BS75" s="200" t="str">
        <f>LARGE($BB$64:$BB$67,1)&amp;":"&amp;SMALL($BB$64:$BB$67,1)</f>
        <v>5:1</v>
      </c>
      <c r="BT75" s="200"/>
    </row>
    <row r="76" spans="1:72" ht="6.75" customHeight="1" thickBot="1" x14ac:dyDescent="0.25">
      <c r="A76" s="29"/>
      <c r="B76" s="29"/>
      <c r="C76" s="29"/>
      <c r="D76" s="29"/>
      <c r="E76" s="29"/>
      <c r="F76" s="29"/>
      <c r="G76" s="29"/>
      <c r="H76" s="29"/>
      <c r="I76" s="29"/>
      <c r="J76" s="29"/>
      <c r="K76" s="29"/>
      <c r="L76" s="29"/>
      <c r="M76" s="29"/>
      <c r="N76" s="29"/>
      <c r="O76" s="263">
        <f>VLOOKUP(VLOOKUP($A$5,'Start List'!$J$9:$Q$14,8,FALSE)&amp;A83,Data!$D$2:$H$97,3,FALSE)</f>
        <v>8</v>
      </c>
      <c r="P76" s="266">
        <v>28</v>
      </c>
      <c r="Q76" s="266">
        <v>29</v>
      </c>
      <c r="R76" s="266">
        <v>28</v>
      </c>
      <c r="S76" s="266"/>
      <c r="T76" s="266"/>
      <c r="U76" s="269">
        <f>IF(P74&lt;P76,2,IF(AND(P76=P74,P76&gt;0),1,0))</f>
        <v>0</v>
      </c>
      <c r="V76" s="269">
        <f>IF(Q74&lt;Q76,2,IF(AND(Q76=Q74,Q76&gt;0),1,0))</f>
        <v>1</v>
      </c>
      <c r="W76" s="269">
        <f>IF(R74&lt;R76,2,IF(AND(R76=R74,R76&gt;0),1,0))</f>
        <v>0</v>
      </c>
      <c r="X76" s="269">
        <f>IF(S74&lt;S76,2,IF(AND(S76=S74,S76&gt;0),1,0))</f>
        <v>0</v>
      </c>
      <c r="Y76" s="269">
        <f>IF(T74&lt;T76,2,IF(AND(T76=T74,T76&gt;0),1,0))</f>
        <v>0</v>
      </c>
      <c r="Z76" s="277">
        <f>SUM(U76:Y77)</f>
        <v>1</v>
      </c>
      <c r="AA76" s="17"/>
      <c r="AB76" s="19"/>
      <c r="AC76" s="254"/>
      <c r="AD76" s="295"/>
      <c r="AE76" s="296"/>
      <c r="AF76" s="296"/>
      <c r="AG76" s="296"/>
      <c r="AH76" s="296"/>
      <c r="AI76" s="296"/>
      <c r="AJ76" s="296"/>
      <c r="AK76" s="296"/>
      <c r="AL76" s="296"/>
      <c r="AM76" s="297"/>
      <c r="AN76" s="262"/>
      <c r="AO76" s="13"/>
      <c r="BM76" s="200">
        <v>4</v>
      </c>
      <c r="BN76" s="200" t="str">
        <f ca="1">IF($BF$42&lt;&gt;" ",VLOOKUP(LARGE(INDIRECT(VLOOKUP($A$5,'Start List'!$J$9:$Q$14,Data!AP6+4,FALSE)),BO76),IF(Data!AP6=2,'Start List'!$C$15:$V$139,'Start List'!$B$15:$V$139),IF(Data!AP6=2,2,3),FALSE),"")</f>
        <v>Sváb Sándor</v>
      </c>
      <c r="BO76" s="201">
        <f ca="1">IF(AQ60=BE65,AQ70,AQ60)</f>
        <v>4</v>
      </c>
      <c r="BP76" s="202" t="str">
        <f t="shared" ca="1" si="1"/>
        <v>7:1</v>
      </c>
      <c r="BQ76" s="202" t="str">
        <f t="shared" ca="1" si="2"/>
        <v>6:2</v>
      </c>
      <c r="BR76" s="202" t="str">
        <f t="shared" ca="1" si="3"/>
        <v>1:5</v>
      </c>
      <c r="BS76" s="200" t="str">
        <f>SMALL($BB$64:$BB$67,1)&amp;":"&amp;LARGE($BB$64:$BB$67,1)</f>
        <v>1:5</v>
      </c>
      <c r="BT76" s="200"/>
    </row>
    <row r="77" spans="1:72" ht="6.75" customHeight="1" x14ac:dyDescent="0.2">
      <c r="A77" s="254">
        <v>6</v>
      </c>
      <c r="B77" s="255" t="str">
        <f ca="1">IF(A77=" "," ",IFERROR(VLOOKUP(LARGE(INDIRECT(VLOOKUP($A$5,'Start List'!$J$9:$Q$14,Data!AP6+4,FALSE)),A77),IF(Data!AP6=2,'Start List'!$C$15:$V$139,'Start List'!$B$15:$V$139),IF(Data!AP6=2,2,3),FALSE),"bye to the next round"))</f>
        <v xml:space="preserve">Tijan Željko </v>
      </c>
      <c r="C77" s="256"/>
      <c r="D77" s="256"/>
      <c r="E77" s="256"/>
      <c r="F77" s="256"/>
      <c r="G77" s="256"/>
      <c r="H77" s="256"/>
      <c r="I77" s="256"/>
      <c r="J77" s="256"/>
      <c r="K77" s="257"/>
      <c r="L77" s="261" t="str">
        <f ca="1">IFERROR(VLOOKUP(LARGE(INDIRECT(VLOOKUP($A$5,'Start List'!$J$9:$Q$14,Data!AP6+4,FALSE)),Men!A77),IF(Data!AP6=2,'Start List'!$C$15:$V$139,'Start List'!$B$15:$V$139),IF(Data!AP6=2,6,7),FALSE)," ")</f>
        <v xml:space="preserve"> </v>
      </c>
      <c r="M77" s="2"/>
      <c r="N77" s="5"/>
      <c r="O77" s="263"/>
      <c r="P77" s="266"/>
      <c r="Q77" s="266"/>
      <c r="R77" s="266"/>
      <c r="S77" s="266"/>
      <c r="T77" s="266"/>
      <c r="U77" s="269"/>
      <c r="V77" s="269"/>
      <c r="W77" s="269"/>
      <c r="X77" s="269"/>
      <c r="Y77" s="269"/>
      <c r="Z77" s="277"/>
      <c r="AA77" s="18"/>
      <c r="AB77" s="1"/>
      <c r="AN77" s="27"/>
      <c r="AO77" s="298"/>
      <c r="AP77" s="298"/>
      <c r="BM77" s="202">
        <v>5</v>
      </c>
      <c r="BN77" s="200" t="str">
        <f ca="1">IF($BF$42&lt;&gt;" ",VLOOKUP(LARGE(INDIRECT(VLOOKUP($A$5,'Start List'!$J$9:$Q$14,Data!AP6+4,FALSE)),BO77),IF(Data!AP6=2,'Start List'!$C$15:$V$139,'Start List'!$B$15:$V$139),IF(Data!AP6=2,2,3),FALSE),"")</f>
        <v>Petar Blagec</v>
      </c>
      <c r="BO77" s="202">
        <f ca="1">SMALL($BT$77:$BT$80,1)</f>
        <v>5</v>
      </c>
      <c r="BP77" s="202" t="str">
        <f t="shared" ca="1" si="1"/>
        <v>5:3</v>
      </c>
      <c r="BQ77" s="202" t="str">
        <f t="shared" ca="1" si="2"/>
        <v>2:6</v>
      </c>
      <c r="BR77" s="200" t="str">
        <f>""</f>
        <v/>
      </c>
      <c r="BS77" s="200" t="str">
        <f>""</f>
        <v/>
      </c>
      <c r="BT77" s="202">
        <f ca="1">IF(O10=AC15,O20,O10)</f>
        <v>9</v>
      </c>
    </row>
    <row r="78" spans="1:72" ht="6.75" customHeight="1" thickBot="1" x14ac:dyDescent="0.25">
      <c r="A78" s="270"/>
      <c r="B78" s="258"/>
      <c r="C78" s="259"/>
      <c r="D78" s="259"/>
      <c r="E78" s="259"/>
      <c r="F78" s="259"/>
      <c r="G78" s="259"/>
      <c r="H78" s="259"/>
      <c r="I78" s="259"/>
      <c r="J78" s="259"/>
      <c r="K78" s="260"/>
      <c r="L78" s="262"/>
      <c r="M78" s="14"/>
      <c r="AA78" s="9"/>
      <c r="AN78" s="23"/>
      <c r="AO78" s="298"/>
      <c r="AP78" s="298"/>
      <c r="BM78" s="200">
        <v>6</v>
      </c>
      <c r="BN78" s="200" t="str">
        <f ca="1">IF($BF$42&lt;&gt;" ",VLOOKUP(LARGE(INDIRECT(VLOOKUP($A$5,'Start List'!$J$9:$Q$14,Data!AP6+4,FALSE)),BO78),IF(Data!AP6=2,'Start List'!$C$15:$V$139,'Start List'!$B$15:$V$139),IF(Data!AP6=2,2,3),FALSE),"")</f>
        <v xml:space="preserve">Tijan Željko </v>
      </c>
      <c r="BO78" s="202">
        <f ca="1">SMALL($BT$77:$BT$80,2)</f>
        <v>6</v>
      </c>
      <c r="BP78" s="202" t="str">
        <f t="shared" ca="1" si="1"/>
        <v>6:2</v>
      </c>
      <c r="BQ78" s="202" t="str">
        <f t="shared" ca="1" si="2"/>
        <v>1:5</v>
      </c>
      <c r="BR78" s="200" t="str">
        <f>""</f>
        <v/>
      </c>
      <c r="BS78" s="200" t="str">
        <f>""</f>
        <v/>
      </c>
      <c r="BT78" s="200">
        <f ca="1">IF(O30=AC35,O40,O30)</f>
        <v>5</v>
      </c>
    </row>
    <row r="79" spans="1:72" ht="6.75" customHeight="1" thickBot="1" x14ac:dyDescent="0.25">
      <c r="A79" s="263">
        <f>VLOOKUP(VLOOKUP($A$5,'Start List'!$J$9:$Q$14,8,FALSE)&amp;A77,Data!$D$2:$H$97,2,FALSE)</f>
        <v>15</v>
      </c>
      <c r="B79" s="274">
        <v>29</v>
      </c>
      <c r="C79" s="271">
        <v>27</v>
      </c>
      <c r="D79" s="271">
        <v>27</v>
      </c>
      <c r="E79" s="271">
        <v>28</v>
      </c>
      <c r="F79" s="271"/>
      <c r="G79" s="268">
        <f>IF(B79&gt;B81,2,IF(AND(B81=B79,B79&gt;0),1,0))</f>
        <v>2</v>
      </c>
      <c r="H79" s="268">
        <f>IF(C79&gt;C81,2,IF(AND(C81=C79,C79&gt;0),1,0))</f>
        <v>2</v>
      </c>
      <c r="I79" s="268">
        <f>IF(D79&gt;D81,2,IF(AND(D81=D79,D79&gt;0),1,0))</f>
        <v>0</v>
      </c>
      <c r="J79" s="268">
        <f>IF(E79&gt;E81,2,IF(AND(E81=E79,E79&gt;0),1,0))</f>
        <v>2</v>
      </c>
      <c r="K79" s="268">
        <f>IF(F79&gt;F81,2,IF(AND(F81=F79,F79&gt;0),1,0))</f>
        <v>0</v>
      </c>
      <c r="L79" s="272">
        <f>SUM(G79:K80)</f>
        <v>6</v>
      </c>
      <c r="M79" s="9"/>
      <c r="AA79" s="9"/>
      <c r="AN79" s="23"/>
      <c r="AO79" s="298"/>
      <c r="AP79" s="298"/>
      <c r="BM79" s="200">
        <v>7</v>
      </c>
      <c r="BN79" s="200" t="str">
        <f ca="1">IF($BF$42&lt;&gt;" ",VLOOKUP(LARGE(INDIRECT(VLOOKUP($A$5,'Start List'!$J$9:$Q$14,Data!AP6+4,FALSE)),BO79),IF(Data!AP6=2,'Start List'!$C$15:$V$139,'Start List'!$B$15:$V$139),IF(Data!AP6=2,2,3),FALSE),"")</f>
        <v>Nedělník Josef</v>
      </c>
      <c r="BO79" s="202">
        <f ca="1">SMALL($BT$77:$BT$80,3)</f>
        <v>7</v>
      </c>
      <c r="BP79" s="202" t="str">
        <f t="shared" ca="1" si="1"/>
        <v>6:0</v>
      </c>
      <c r="BQ79" s="202" t="str">
        <f t="shared" ca="1" si="2"/>
        <v>1:5</v>
      </c>
      <c r="BR79" s="200" t="str">
        <f>""</f>
        <v/>
      </c>
      <c r="BS79" s="200" t="str">
        <f>""</f>
        <v/>
      </c>
      <c r="BT79" s="200">
        <f ca="1">IF(O50=AC55,O60,O50)</f>
        <v>7</v>
      </c>
    </row>
    <row r="80" spans="1:72" ht="6.75" customHeight="1" x14ac:dyDescent="0.2">
      <c r="A80" s="263"/>
      <c r="B80" s="264"/>
      <c r="C80" s="266"/>
      <c r="D80" s="266"/>
      <c r="E80" s="266"/>
      <c r="F80" s="266"/>
      <c r="G80" s="269"/>
      <c r="H80" s="269"/>
      <c r="I80" s="269"/>
      <c r="J80" s="269"/>
      <c r="K80" s="269"/>
      <c r="L80" s="273"/>
      <c r="M80" s="15"/>
      <c r="O80" s="254">
        <f ca="1">IF(B83="bye to the next round",A77,IF(AND(L79&gt;L81,L79&gt;4),A77,IF(AND(L81&gt;L79,L81&gt;4),A83,IF(AND(L79=5,L81=5),MIN(A77,A83)," "))))</f>
        <v>6</v>
      </c>
      <c r="P80" s="255" t="str">
        <f ca="1">IF(O80=" "," ",IFERROR(VLOOKUP(LARGE(INDIRECT(VLOOKUP($A$5,'Start List'!$J$9:$Q$14,Data!AP6+4,FALSE)),O80),IF(Data!AP6=2,'Start List'!$C$15:$V$139,'Start List'!$B$15:$V$139),IF(Data!AP6=2,2,3),FALSE),"bye to the next round"))</f>
        <v xml:space="preserve">Tijan Željko </v>
      </c>
      <c r="Q80" s="256"/>
      <c r="R80" s="256"/>
      <c r="S80" s="256"/>
      <c r="T80" s="256"/>
      <c r="U80" s="256"/>
      <c r="V80" s="256"/>
      <c r="W80" s="256"/>
      <c r="X80" s="256"/>
      <c r="Y80" s="257"/>
      <c r="Z80" s="261" t="str">
        <f ca="1">IFERROR(VLOOKUP(LARGE(INDIRECT(VLOOKUP($A$5,'Start List'!$J$9:$Q$14,Data!AP6+4,FALSE)),Men!O80),IF(Data!AP6=2,'Start List'!$C$15:$V$139,'Start List'!$B$15:$V$139),IF(Data!AP6=2,6,7),FALSE)," ")</f>
        <v xml:space="preserve"> </v>
      </c>
      <c r="AA80" s="8"/>
      <c r="AN80" s="23"/>
      <c r="AO80" s="298"/>
      <c r="AP80" s="298"/>
      <c r="BM80" s="200">
        <v>8</v>
      </c>
      <c r="BN80" s="200" t="str">
        <f ca="1">IF($BF$42&lt;&gt;" ",VLOOKUP(LARGE(INDIRECT(VLOOKUP($A$5,'Start List'!$J$9:$Q$14,Data!AP6+4,FALSE)),BO80),IF(Data!AP6=2,'Start List'!$C$15:$V$139,'Start List'!$B$15:$V$139),IF(Data!AP6=2,2,3),FALSE),"")</f>
        <v>Mátrai István</v>
      </c>
      <c r="BO80" s="202">
        <f ca="1">SMALL($BT$77:$BT$80,4)</f>
        <v>9</v>
      </c>
      <c r="BP80" s="202" t="str">
        <f t="shared" ca="1" si="1"/>
        <v>6:0</v>
      </c>
      <c r="BQ80" s="202" t="str">
        <f t="shared" ca="1" si="2"/>
        <v>0:6</v>
      </c>
      <c r="BR80" s="200" t="str">
        <f>""</f>
        <v/>
      </c>
      <c r="BS80" s="200" t="str">
        <f>""</f>
        <v/>
      </c>
      <c r="BT80" s="200">
        <f ca="1">IF(O70=AC75,O80,O70)</f>
        <v>6</v>
      </c>
    </row>
    <row r="81" spans="1:72" ht="6.75" customHeight="1" thickBot="1" x14ac:dyDescent="0.25">
      <c r="A81" s="263">
        <f>VLOOKUP(VLOOKUP($A$5,'Start List'!$J$9:$Q$14,8,FALSE)&amp;A83,Data!$D$2:$H$97,2,FALSE)</f>
        <v>16</v>
      </c>
      <c r="B81" s="264">
        <v>26</v>
      </c>
      <c r="C81" s="266">
        <v>26</v>
      </c>
      <c r="D81" s="266">
        <v>28</v>
      </c>
      <c r="E81" s="266">
        <v>24</v>
      </c>
      <c r="F81" s="266"/>
      <c r="G81" s="268">
        <f>IF(B79&lt;B81,2,IF(AND(B81=B79,B81&gt;0),1,0))</f>
        <v>0</v>
      </c>
      <c r="H81" s="268">
        <f>IF(C79&lt;C81,2,IF(AND(C81=C79,C81&gt;0),1,0))</f>
        <v>0</v>
      </c>
      <c r="I81" s="268">
        <f>IF(D79&lt;D81,2,IF(AND(D81=D79,D81&gt;0),1,0))</f>
        <v>2</v>
      </c>
      <c r="J81" s="268">
        <f>IF(E79&lt;E81,2,IF(AND(E81=E79,E81&gt;0),1,0))</f>
        <v>0</v>
      </c>
      <c r="K81" s="268">
        <f>IF(F79&lt;F81,2,IF(AND(F81=F79,F81&gt;0),1,0))</f>
        <v>0</v>
      </c>
      <c r="L81" s="272">
        <f>SUM(G81:K82)</f>
        <v>2</v>
      </c>
      <c r="M81" s="15"/>
      <c r="N81" s="10"/>
      <c r="O81" s="254"/>
      <c r="P81" s="258"/>
      <c r="Q81" s="259"/>
      <c r="R81" s="259"/>
      <c r="S81" s="259"/>
      <c r="T81" s="259"/>
      <c r="U81" s="259"/>
      <c r="V81" s="259"/>
      <c r="W81" s="259"/>
      <c r="X81" s="259"/>
      <c r="Y81" s="260"/>
      <c r="Z81" s="262"/>
      <c r="AA81" s="13"/>
      <c r="AN81" s="23"/>
      <c r="AO81" s="298"/>
      <c r="AP81" s="298"/>
      <c r="BM81" s="200">
        <v>9</v>
      </c>
      <c r="BN81" s="200" t="str">
        <f ca="1">IF($BF$42&lt;&gt;" ",VLOOKUP(LARGE(INDIRECT(VLOOKUP($A$5,'Start List'!$J$9:$Q$14,Data!AP6+4,FALSE)),BO81),IF(Data!AP6=2,'Start List'!$C$15:$V$139,'Start List'!$B$15:$V$139),IF(Data!AP6=2,2,3),FALSE),"")</f>
        <v>Fran Županić</v>
      </c>
      <c r="BO81" s="200">
        <f t="shared" ref="BO81:BO88" ca="1" si="4">SMALL($BT$81:$BT$88,BM50)</f>
        <v>8</v>
      </c>
      <c r="BP81" s="202" t="str">
        <f t="shared" ca="1" si="1"/>
        <v>0:6</v>
      </c>
      <c r="BQ81" s="200" t="str">
        <f>""</f>
        <v/>
      </c>
      <c r="BR81" s="200" t="str">
        <f>""</f>
        <v/>
      </c>
      <c r="BS81" s="200" t="str">
        <f>""</f>
        <v/>
      </c>
      <c r="BT81" s="200">
        <f ca="1">IF(A7=O10,A13,A7)</f>
        <v>16</v>
      </c>
    </row>
    <row r="82" spans="1:72" ht="6.75" customHeight="1" thickBot="1" x14ac:dyDescent="0.25">
      <c r="A82" s="263"/>
      <c r="B82" s="265"/>
      <c r="C82" s="267"/>
      <c r="D82" s="267"/>
      <c r="E82" s="267"/>
      <c r="F82" s="267"/>
      <c r="G82" s="269"/>
      <c r="H82" s="269"/>
      <c r="I82" s="269"/>
      <c r="J82" s="269"/>
      <c r="K82" s="269"/>
      <c r="L82" s="273"/>
      <c r="M82" s="15"/>
      <c r="O82" s="7"/>
      <c r="AN82" s="23"/>
      <c r="AO82" s="298"/>
      <c r="AP82" s="298"/>
      <c r="BM82" s="200">
        <v>10</v>
      </c>
      <c r="BN82" s="200" t="str">
        <f ca="1">IF($BF$42&lt;&gt;" ",VLOOKUP(LARGE(INDIRECT(VLOOKUP($A$5,'Start List'!$J$9:$Q$14,Data!AP6+4,FALSE)),BO82),IF(Data!AP6=2,'Start List'!$C$15:$V$139,'Start List'!$B$15:$V$139),IF(Data!AP6=2,2,3),FALSE),"")</f>
        <v>Vyskočil Denis</v>
      </c>
      <c r="BO82" s="200">
        <f t="shared" ca="1" si="4"/>
        <v>10</v>
      </c>
      <c r="BP82" s="202" t="str">
        <f t="shared" ca="1" si="1"/>
        <v>0:6</v>
      </c>
      <c r="BQ82" s="200" t="str">
        <f>""</f>
        <v/>
      </c>
      <c r="BR82" s="200" t="str">
        <f>""</f>
        <v/>
      </c>
      <c r="BS82" s="200" t="str">
        <f>""</f>
        <v/>
      </c>
      <c r="BT82" s="200">
        <f ca="1">IF(A17=O20,A23,A17)</f>
        <v>8</v>
      </c>
    </row>
    <row r="83" spans="1:72" ht="6.75" customHeight="1" x14ac:dyDescent="0.2">
      <c r="A83" s="254">
        <v>11</v>
      </c>
      <c r="B83" s="255" t="str">
        <f ca="1">IF(A83=" "," ",IFERROR(VLOOKUP(LARGE(INDIRECT(VLOOKUP($A$5,'Start List'!$J$9:$Q$14,Data!AP6+4,FALSE)),A83),IF(Data!AP6=2,'Start List'!$C$15:$V$139,'Start List'!$B$15:$V$139),IF(Data!AP6=2,2,3),FALSE),"bye to the next round"))</f>
        <v>Andrés Lukáš</v>
      </c>
      <c r="C83" s="256"/>
      <c r="D83" s="256"/>
      <c r="E83" s="256"/>
      <c r="F83" s="256"/>
      <c r="G83" s="256"/>
      <c r="H83" s="256"/>
      <c r="I83" s="256"/>
      <c r="J83" s="256"/>
      <c r="K83" s="257"/>
      <c r="L83" s="261" t="str">
        <f ca="1">IFERROR(VLOOKUP(LARGE(INDIRECT(VLOOKUP($A$5,'Start List'!$J$9:$Q$14,Data!AP6+4,FALSE)),Men!A83),IF(Data!AP6=2,'Start List'!$C$15:$V$139,'Start List'!$B$15:$V$139),IF(Data!AP6=2,6,7),FALSE)," ")</f>
        <v xml:space="preserve"> </v>
      </c>
      <c r="M83" s="8"/>
      <c r="O83" s="7"/>
      <c r="AN83" s="23"/>
      <c r="AO83" s="298"/>
      <c r="AP83" s="298"/>
      <c r="BM83" s="200">
        <v>11</v>
      </c>
      <c r="BN83" s="200" t="str">
        <f ca="1">IF($BF$42&lt;&gt;" ",VLOOKUP(LARGE(INDIRECT(VLOOKUP($A$5,'Start List'!$J$9:$Q$14,Data!AP6+4,FALSE)),BO83),IF(Data!AP6=2,'Start List'!$C$15:$V$139,'Start List'!$B$15:$V$139),IF(Data!AP6=2,2,3),FALSE),"")</f>
        <v>Andrés Lukáš</v>
      </c>
      <c r="BO83" s="200">
        <f t="shared" ca="1" si="4"/>
        <v>11</v>
      </c>
      <c r="BP83" s="202" t="str">
        <f t="shared" ca="1" si="1"/>
        <v>2:6</v>
      </c>
      <c r="BQ83" s="200" t="str">
        <f>""</f>
        <v/>
      </c>
      <c r="BR83" s="200" t="str">
        <f>""</f>
        <v/>
      </c>
      <c r="BS83" s="200" t="str">
        <f>""</f>
        <v/>
      </c>
      <c r="BT83" s="200">
        <f ca="1">IF(A27=O30,A33,A27)</f>
        <v>13</v>
      </c>
    </row>
    <row r="84" spans="1:72" ht="6.75" customHeight="1" thickBot="1" x14ac:dyDescent="0.25">
      <c r="A84" s="254"/>
      <c r="B84" s="258"/>
      <c r="C84" s="259"/>
      <c r="D84" s="259"/>
      <c r="E84" s="259"/>
      <c r="F84" s="259"/>
      <c r="G84" s="259"/>
      <c r="H84" s="259"/>
      <c r="I84" s="259"/>
      <c r="J84" s="259"/>
      <c r="K84" s="260"/>
      <c r="L84" s="262"/>
      <c r="M84" s="13"/>
      <c r="AN84" s="23"/>
      <c r="AO84" s="298"/>
      <c r="AP84" s="298"/>
      <c r="BM84" s="200">
        <v>12</v>
      </c>
      <c r="BN84" s="200" t="str">
        <f ca="1">IF($BF$42&lt;&gt;" ",VLOOKUP(LARGE(INDIRECT(VLOOKUP($A$5,'Start List'!$J$9:$Q$14,Data!AP6+4,FALSE)),BO84),IF(Data!AP6=2,'Start List'!$C$15:$V$139,'Start List'!$B$15:$V$139),IF(Data!AP6=2,2,3),FALSE),"")</f>
        <v>Kratochvíla Pavel</v>
      </c>
      <c r="BO84" s="200">
        <f t="shared" ca="1" si="4"/>
        <v>12</v>
      </c>
      <c r="BP84" s="202" t="str">
        <f t="shared" ca="1" si="1"/>
        <v>3:5</v>
      </c>
      <c r="BQ84" s="200" t="str">
        <f>""</f>
        <v/>
      </c>
      <c r="BR84" s="200" t="str">
        <f>""</f>
        <v/>
      </c>
      <c r="BS84" s="200" t="str">
        <f>""</f>
        <v/>
      </c>
      <c r="BT84" s="200">
        <f ca="1">IF(A37=O40,A43,A37)</f>
        <v>12</v>
      </c>
    </row>
    <row r="85" spans="1:72" ht="6.75" customHeight="1" x14ac:dyDescent="0.2">
      <c r="A85" s="30"/>
      <c r="AN85" s="23"/>
      <c r="AO85" s="32"/>
      <c r="AP85" s="32"/>
      <c r="BM85" s="200">
        <v>13</v>
      </c>
      <c r="BN85" s="200" t="str">
        <f ca="1">IF($BF$42&lt;&gt;" ",VLOOKUP(LARGE(INDIRECT(VLOOKUP($A$5,'Start List'!$J$9:$Q$14,Data!AP6+4,FALSE)),BO85),IF(Data!AP6=2,'Start List'!$C$15:$V$139,'Start List'!$B$15:$V$139),IF(Data!AP6=2,2,3),FALSE),"")</f>
        <v>Losert Václav</v>
      </c>
      <c r="BO85" s="200">
        <f t="shared" ca="1" si="4"/>
        <v>13</v>
      </c>
      <c r="BP85" s="202" t="str">
        <f t="shared" ca="1" si="1"/>
        <v>1:7</v>
      </c>
      <c r="BQ85" s="200" t="str">
        <f>""</f>
        <v/>
      </c>
      <c r="BR85" s="200" t="str">
        <f>""</f>
        <v/>
      </c>
      <c r="BS85" s="200" t="str">
        <f>""</f>
        <v/>
      </c>
      <c r="BT85" s="200">
        <f ca="1">IF(A47=O50,A53,A47)</f>
        <v>15</v>
      </c>
    </row>
    <row r="86" spans="1:72" ht="6.75" customHeight="1" x14ac:dyDescent="0.2">
      <c r="A86" s="31"/>
      <c r="B86" s="7"/>
      <c r="C86" s="7"/>
      <c r="D86" s="7"/>
      <c r="E86" s="7"/>
      <c r="F86" s="7"/>
      <c r="G86" s="7"/>
      <c r="H86" s="7"/>
      <c r="I86" s="7"/>
      <c r="J86" s="7"/>
      <c r="K86" s="7"/>
      <c r="L86" s="7"/>
      <c r="O86" s="7"/>
      <c r="AA86" s="23"/>
      <c r="AB86" s="32"/>
      <c r="AC86" s="32"/>
      <c r="BM86" s="11">
        <v>14</v>
      </c>
      <c r="BN86" s="200" t="str">
        <f ca="1">IF($BF$42&lt;&gt;" ",VLOOKUP(LARGE(INDIRECT(VLOOKUP($A$5,'Start List'!$J$9:$Q$14,Data!AP6+4,FALSE)),BO86),IF(Data!AP6=2,'Start List'!$C$15:$V$139,'Start List'!$B$15:$V$139),IF(Data!AP6=2,2,3),FALSE),"")</f>
        <v>Baborák František</v>
      </c>
      <c r="BO86" s="200">
        <f t="shared" ca="1" si="4"/>
        <v>14</v>
      </c>
      <c r="BP86" s="202" t="str">
        <f t="shared" ca="1" si="1"/>
        <v>2:6</v>
      </c>
      <c r="BQ86" s="200" t="str">
        <f>""</f>
        <v/>
      </c>
      <c r="BR86" s="200" t="str">
        <f>""</f>
        <v/>
      </c>
      <c r="BS86" s="200" t="str">
        <f>""</f>
        <v/>
      </c>
      <c r="BT86" s="203">
        <f ca="1">IF(A57=O60,A63,A57)</f>
        <v>10</v>
      </c>
    </row>
    <row r="87" spans="1:72" ht="6.75" customHeight="1" x14ac:dyDescent="0.2">
      <c r="A87" s="23"/>
      <c r="B87" s="3"/>
      <c r="C87" s="7"/>
      <c r="D87" s="7"/>
      <c r="E87" s="7"/>
      <c r="F87" s="7"/>
      <c r="G87" s="7"/>
      <c r="H87" s="7"/>
      <c r="I87" s="7"/>
      <c r="J87" s="7"/>
      <c r="K87" s="7"/>
      <c r="L87" s="7"/>
      <c r="O87" s="7"/>
      <c r="BM87" s="193">
        <v>15</v>
      </c>
      <c r="BN87" s="200" t="str">
        <f ca="1">IF($BF$42&lt;&gt;" ",VLOOKUP(LARGE(INDIRECT(VLOOKUP($A$5,'Start List'!$J$9:$Q$14,Data!AP6+4,FALSE)),BO87),IF(Data!AP6=2,'Start List'!$C$15:$V$139,'Start List'!$B$15:$V$139),IF(Data!AP6=2,2,3),FALSE),"")</f>
        <v>Palotai Gyula</v>
      </c>
      <c r="BO87" s="200">
        <f t="shared" ca="1" si="4"/>
        <v>15</v>
      </c>
      <c r="BP87" s="202" t="str">
        <f t="shared" ca="1" si="1"/>
        <v>1:5</v>
      </c>
      <c r="BQ87" s="200" t="str">
        <f>""</f>
        <v/>
      </c>
      <c r="BR87" s="200" t="str">
        <f>""</f>
        <v/>
      </c>
      <c r="BS87" s="200" t="str">
        <f>""</f>
        <v/>
      </c>
      <c r="BT87" s="200">
        <f ca="1">IF(A67=O70,A73,A67)</f>
        <v>14</v>
      </c>
    </row>
    <row r="88" spans="1:72" ht="6.75" customHeight="1" x14ac:dyDescent="0.2">
      <c r="A88" s="23"/>
      <c r="B88" s="3"/>
      <c r="C88" s="7"/>
      <c r="D88" s="7"/>
      <c r="E88" s="7"/>
      <c r="F88" s="7"/>
      <c r="G88" s="7"/>
      <c r="H88" s="7"/>
      <c r="I88" s="7"/>
      <c r="J88" s="7"/>
      <c r="K88" s="7"/>
      <c r="L88" s="7"/>
      <c r="O88" s="7"/>
      <c r="BM88" s="193">
        <v>16</v>
      </c>
      <c r="BN88" s="200" t="str">
        <f ca="1">IF($BF$42&lt;&gt;" ",VLOOKUP(LARGE(INDIRECT(VLOOKUP($A$5,'Start List'!$J$9:$Q$14,Data!AP6+4,FALSE)),BO88),IF(Data!AP6=2,'Start List'!$C$15:$V$139,'Start List'!$B$15:$V$139),IF(Data!AP6=2,2,3),FALSE),"")</f>
        <v>Mikeštík Martin</v>
      </c>
      <c r="BO88" s="200">
        <f t="shared" ca="1" si="4"/>
        <v>16</v>
      </c>
      <c r="BP88" s="202" t="str">
        <f t="shared" ca="1" si="1"/>
        <v>0:6</v>
      </c>
      <c r="BQ88" s="200" t="str">
        <f>""</f>
        <v/>
      </c>
      <c r="BR88" s="200" t="str">
        <f>""</f>
        <v/>
      </c>
      <c r="BS88" s="200" t="str">
        <f>""</f>
        <v/>
      </c>
      <c r="BT88" s="200">
        <f ca="1">IF(A77=O80,A83,A77)</f>
        <v>11</v>
      </c>
    </row>
    <row r="89" spans="1:72" ht="6.75" customHeight="1" x14ac:dyDescent="0.2">
      <c r="B89" s="3"/>
      <c r="C89" s="7"/>
      <c r="D89" s="7"/>
      <c r="E89" s="7"/>
      <c r="F89" s="7"/>
      <c r="G89" s="7"/>
      <c r="H89" s="7"/>
      <c r="I89" s="7"/>
      <c r="J89" s="7"/>
      <c r="K89" s="7"/>
      <c r="L89" s="7"/>
      <c r="O89" s="7"/>
    </row>
    <row r="90" spans="1:72" ht="6.75" customHeight="1" x14ac:dyDescent="0.2">
      <c r="B90" s="3"/>
      <c r="C90" s="7"/>
      <c r="D90" s="7"/>
      <c r="E90" s="7"/>
      <c r="F90" s="7"/>
      <c r="G90" s="7"/>
      <c r="H90" s="7"/>
      <c r="I90" s="7"/>
      <c r="J90" s="7"/>
      <c r="K90" s="7"/>
      <c r="L90" s="7"/>
      <c r="O90" s="7"/>
    </row>
    <row r="91" spans="1:72" ht="6.75" customHeight="1" x14ac:dyDescent="0.2">
      <c r="B91" s="3"/>
      <c r="C91" s="7"/>
      <c r="D91" s="7"/>
      <c r="E91" s="7"/>
      <c r="F91" s="7"/>
      <c r="G91" s="7"/>
      <c r="H91" s="7"/>
      <c r="I91" s="7"/>
      <c r="J91" s="7"/>
      <c r="K91" s="7"/>
      <c r="L91" s="7"/>
      <c r="O91" s="7"/>
    </row>
    <row r="92" spans="1:72" ht="6.75" customHeight="1" x14ac:dyDescent="0.2">
      <c r="B92" s="3"/>
      <c r="C92" s="7"/>
      <c r="D92" s="7"/>
      <c r="E92" s="7"/>
      <c r="F92" s="7"/>
      <c r="G92" s="7"/>
      <c r="H92" s="7"/>
      <c r="I92" s="7"/>
      <c r="J92" s="7"/>
      <c r="K92" s="7"/>
      <c r="L92" s="7"/>
      <c r="O92" s="7"/>
    </row>
    <row r="93" spans="1:72" ht="6.75" customHeight="1" x14ac:dyDescent="0.2">
      <c r="B93" s="3"/>
      <c r="C93" s="7"/>
      <c r="D93" s="7"/>
      <c r="E93" s="7"/>
      <c r="F93" s="7"/>
      <c r="G93" s="7"/>
      <c r="H93" s="7"/>
      <c r="I93" s="7"/>
      <c r="J93" s="7"/>
      <c r="K93" s="7"/>
      <c r="L93" s="7"/>
      <c r="O93" s="7"/>
    </row>
    <row r="94" spans="1:72" ht="6.75" customHeight="1" x14ac:dyDescent="0.2">
      <c r="B94" s="3"/>
      <c r="C94" s="7"/>
      <c r="D94" s="7"/>
      <c r="E94" s="7"/>
      <c r="F94" s="7"/>
      <c r="G94" s="7"/>
      <c r="H94" s="7"/>
      <c r="I94" s="7"/>
      <c r="J94" s="7"/>
      <c r="K94" s="7"/>
      <c r="L94" s="7"/>
      <c r="O94" s="7"/>
    </row>
    <row r="95" spans="1:72" ht="6.75" customHeight="1" x14ac:dyDescent="0.2">
      <c r="B95" s="3"/>
      <c r="C95" s="7"/>
      <c r="D95" s="7"/>
      <c r="E95" s="7"/>
      <c r="F95" s="7"/>
      <c r="G95" s="7"/>
      <c r="H95" s="7"/>
      <c r="I95" s="7"/>
      <c r="J95" s="7"/>
      <c r="K95" s="7"/>
      <c r="L95" s="7"/>
      <c r="O95" s="7"/>
    </row>
    <row r="96" spans="1:72" ht="6.75" customHeight="1" x14ac:dyDescent="0.2">
      <c r="B96" s="3"/>
      <c r="C96" s="7"/>
      <c r="D96" s="7"/>
      <c r="E96" s="7"/>
      <c r="F96" s="7"/>
      <c r="G96" s="7"/>
      <c r="H96" s="7"/>
      <c r="I96" s="7"/>
      <c r="J96" s="7"/>
      <c r="K96" s="7"/>
      <c r="L96" s="7"/>
      <c r="O96" s="7"/>
    </row>
    <row r="97" spans="2:15" ht="6.75" customHeight="1" x14ac:dyDescent="0.2">
      <c r="B97" s="3"/>
      <c r="C97" s="7"/>
      <c r="D97" s="7"/>
      <c r="E97" s="7"/>
      <c r="F97" s="7"/>
      <c r="G97" s="7"/>
      <c r="H97" s="7"/>
      <c r="I97" s="7"/>
      <c r="J97" s="7"/>
      <c r="K97" s="7"/>
      <c r="L97" s="7"/>
      <c r="O97" s="7"/>
    </row>
    <row r="98" spans="2:15" ht="6.75" customHeight="1" x14ac:dyDescent="0.2">
      <c r="B98" s="3"/>
      <c r="C98" s="7"/>
      <c r="D98" s="7"/>
      <c r="E98" s="7"/>
      <c r="F98" s="7"/>
      <c r="G98" s="7"/>
      <c r="H98" s="7"/>
      <c r="I98" s="7"/>
      <c r="J98" s="7"/>
      <c r="K98" s="7"/>
      <c r="L98" s="7"/>
      <c r="O98" s="7"/>
    </row>
    <row r="99" spans="2:15" ht="6.75" customHeight="1" x14ac:dyDescent="0.2">
      <c r="B99" s="3"/>
      <c r="C99" s="7"/>
      <c r="D99" s="7"/>
      <c r="E99" s="7"/>
      <c r="F99" s="7"/>
      <c r="G99" s="7"/>
      <c r="H99" s="7"/>
      <c r="I99" s="7"/>
      <c r="J99" s="7"/>
      <c r="K99" s="7"/>
      <c r="L99" s="7"/>
      <c r="O99" s="7"/>
    </row>
    <row r="100" spans="2:15" ht="6.75" customHeight="1" x14ac:dyDescent="0.2">
      <c r="B100" s="3"/>
      <c r="C100" s="7"/>
      <c r="D100" s="7"/>
      <c r="E100" s="7"/>
      <c r="F100" s="7"/>
      <c r="G100" s="7"/>
      <c r="H100" s="7"/>
      <c r="I100" s="7"/>
      <c r="J100" s="7"/>
      <c r="K100" s="7"/>
      <c r="L100" s="7"/>
      <c r="O100" s="7"/>
    </row>
    <row r="101" spans="2:15" ht="6.75" customHeight="1" x14ac:dyDescent="0.2">
      <c r="B101" s="3"/>
      <c r="C101" s="7"/>
      <c r="D101" s="7"/>
      <c r="E101" s="7"/>
      <c r="F101" s="7"/>
      <c r="G101" s="7"/>
      <c r="H101" s="7"/>
      <c r="I101" s="7"/>
      <c r="J101" s="7"/>
      <c r="K101" s="7"/>
      <c r="L101" s="7"/>
      <c r="O101" s="7"/>
    </row>
    <row r="102" spans="2:15" ht="6.75" customHeight="1" x14ac:dyDescent="0.2">
      <c r="B102" s="3"/>
      <c r="C102" s="7"/>
      <c r="D102" s="7"/>
      <c r="E102" s="7"/>
      <c r="F102" s="7"/>
      <c r="G102" s="7"/>
      <c r="H102" s="7"/>
      <c r="I102" s="7"/>
      <c r="J102" s="7"/>
      <c r="K102" s="7"/>
      <c r="L102" s="7"/>
      <c r="O102" s="7"/>
    </row>
    <row r="103" spans="2:15" ht="6.75" customHeight="1" x14ac:dyDescent="0.2">
      <c r="B103" s="3"/>
      <c r="C103" s="7"/>
      <c r="D103" s="7"/>
      <c r="E103" s="7"/>
      <c r="F103" s="7"/>
      <c r="G103" s="7"/>
      <c r="H103" s="7"/>
      <c r="I103" s="7"/>
      <c r="J103" s="7"/>
      <c r="K103" s="7"/>
      <c r="L103" s="7"/>
      <c r="O103" s="7"/>
    </row>
    <row r="104" spans="2:15" ht="6.75" customHeight="1" x14ac:dyDescent="0.2">
      <c r="B104" s="3"/>
      <c r="C104" s="7"/>
      <c r="D104" s="7"/>
      <c r="E104" s="7"/>
      <c r="F104" s="7"/>
      <c r="G104" s="7"/>
      <c r="H104" s="7"/>
      <c r="I104" s="7"/>
      <c r="J104" s="7"/>
      <c r="K104" s="7"/>
      <c r="L104" s="7"/>
      <c r="O104" s="7"/>
    </row>
    <row r="105" spans="2:15" ht="6.75" customHeight="1" x14ac:dyDescent="0.2">
      <c r="B105" s="3"/>
      <c r="C105" s="7"/>
      <c r="D105" s="7"/>
      <c r="E105" s="7"/>
      <c r="F105" s="7"/>
      <c r="G105" s="7"/>
      <c r="H105" s="7"/>
      <c r="I105" s="7"/>
      <c r="J105" s="7"/>
      <c r="K105" s="7"/>
      <c r="L105" s="7"/>
      <c r="O105" s="7"/>
    </row>
    <row r="106" spans="2:15" ht="6.75" customHeight="1" x14ac:dyDescent="0.2">
      <c r="B106" s="3"/>
      <c r="C106" s="7"/>
      <c r="D106" s="7"/>
      <c r="E106" s="7"/>
      <c r="F106" s="7"/>
      <c r="G106" s="7"/>
      <c r="H106" s="7"/>
      <c r="I106" s="7"/>
      <c r="J106" s="7"/>
      <c r="K106" s="7"/>
      <c r="L106" s="7"/>
      <c r="O106" s="7"/>
    </row>
    <row r="107" spans="2:15" ht="6.75" customHeight="1" x14ac:dyDescent="0.2">
      <c r="B107" s="3"/>
      <c r="C107" s="7"/>
      <c r="D107" s="7"/>
      <c r="E107" s="7"/>
      <c r="F107" s="7"/>
      <c r="G107" s="7"/>
      <c r="H107" s="7"/>
      <c r="I107" s="7"/>
      <c r="J107" s="7"/>
      <c r="K107" s="7"/>
      <c r="L107" s="7"/>
      <c r="O107" s="7"/>
    </row>
    <row r="108" spans="2:15" ht="6.75" customHeight="1" x14ac:dyDescent="0.2">
      <c r="B108" s="3"/>
      <c r="C108" s="7"/>
      <c r="D108" s="7"/>
      <c r="E108" s="7"/>
      <c r="F108" s="7"/>
      <c r="G108" s="7"/>
      <c r="H108" s="7"/>
      <c r="I108" s="7"/>
      <c r="J108" s="7"/>
      <c r="K108" s="7"/>
      <c r="L108" s="7"/>
      <c r="O108" s="7"/>
    </row>
    <row r="109" spans="2:15" ht="6.75" customHeight="1" x14ac:dyDescent="0.2">
      <c r="B109" s="3"/>
      <c r="C109" s="7"/>
      <c r="D109" s="7"/>
      <c r="E109" s="7"/>
      <c r="F109" s="7"/>
      <c r="G109" s="7"/>
      <c r="H109" s="7"/>
      <c r="I109" s="7"/>
      <c r="J109" s="7"/>
      <c r="K109" s="7"/>
      <c r="L109" s="7"/>
      <c r="O109" s="7"/>
    </row>
    <row r="110" spans="2:15" ht="6.75" customHeight="1" x14ac:dyDescent="0.2">
      <c r="B110" s="3"/>
      <c r="C110" s="7"/>
      <c r="D110" s="7"/>
      <c r="E110" s="7"/>
      <c r="F110" s="7"/>
      <c r="G110" s="7"/>
      <c r="H110" s="7"/>
      <c r="I110" s="7"/>
      <c r="J110" s="7"/>
      <c r="K110" s="7"/>
      <c r="L110" s="7"/>
      <c r="O110" s="7"/>
    </row>
    <row r="111" spans="2:15" ht="6.75" customHeight="1" x14ac:dyDescent="0.2">
      <c r="B111" s="3"/>
      <c r="C111" s="7"/>
      <c r="D111" s="7"/>
      <c r="E111" s="7"/>
      <c r="F111" s="7"/>
      <c r="G111" s="7"/>
      <c r="H111" s="7"/>
      <c r="I111" s="7"/>
      <c r="J111" s="7"/>
      <c r="K111" s="7"/>
      <c r="L111" s="7"/>
      <c r="O111" s="7"/>
    </row>
    <row r="112" spans="2:15" ht="6.75" customHeight="1" x14ac:dyDescent="0.2">
      <c r="B112" s="3"/>
      <c r="C112" s="7"/>
      <c r="D112" s="7"/>
      <c r="E112" s="7"/>
      <c r="F112" s="7"/>
      <c r="G112" s="7"/>
      <c r="H112" s="7"/>
      <c r="I112" s="7"/>
      <c r="J112" s="7"/>
      <c r="K112" s="7"/>
      <c r="L112" s="7"/>
      <c r="O112" s="7"/>
    </row>
    <row r="113" spans="2:15" ht="6.75" customHeight="1" x14ac:dyDescent="0.2">
      <c r="B113" s="3"/>
      <c r="C113" s="7"/>
      <c r="D113" s="7"/>
      <c r="E113" s="7"/>
      <c r="F113" s="7"/>
      <c r="G113" s="7"/>
      <c r="H113" s="7"/>
      <c r="I113" s="7"/>
      <c r="J113" s="7"/>
      <c r="K113" s="7"/>
      <c r="L113" s="7"/>
      <c r="O113" s="7"/>
    </row>
    <row r="114" spans="2:15" ht="6.75" customHeight="1" x14ac:dyDescent="0.2">
      <c r="B114" s="3"/>
      <c r="C114" s="7"/>
      <c r="D114" s="7"/>
      <c r="E114" s="7"/>
      <c r="F114" s="7"/>
      <c r="G114" s="7"/>
      <c r="H114" s="7"/>
      <c r="I114" s="7"/>
      <c r="J114" s="7"/>
      <c r="K114" s="7"/>
      <c r="L114" s="7"/>
      <c r="O114" s="7"/>
    </row>
    <row r="115" spans="2:15" ht="6.75" customHeight="1" x14ac:dyDescent="0.2">
      <c r="B115" s="3"/>
      <c r="C115" s="7"/>
      <c r="D115" s="7"/>
      <c r="E115" s="7"/>
      <c r="F115" s="7"/>
      <c r="G115" s="7"/>
      <c r="H115" s="7"/>
      <c r="I115" s="7"/>
      <c r="J115" s="7"/>
      <c r="K115" s="7"/>
      <c r="L115" s="7"/>
      <c r="O115" s="7"/>
    </row>
    <row r="116" spans="2:15" ht="6.75" customHeight="1" x14ac:dyDescent="0.2">
      <c r="B116" s="3"/>
      <c r="C116" s="7"/>
      <c r="D116" s="7"/>
      <c r="E116" s="7"/>
      <c r="F116" s="7"/>
      <c r="G116" s="7"/>
      <c r="H116" s="7"/>
      <c r="I116" s="7"/>
      <c r="J116" s="7"/>
      <c r="K116" s="7"/>
      <c r="L116" s="7"/>
      <c r="O116" s="7"/>
    </row>
    <row r="117" spans="2:15" ht="6.75" customHeight="1" x14ac:dyDescent="0.2">
      <c r="B117" s="3"/>
      <c r="C117" s="7"/>
      <c r="D117" s="7"/>
      <c r="E117" s="7"/>
      <c r="F117" s="7"/>
      <c r="G117" s="7"/>
      <c r="H117" s="7"/>
      <c r="I117" s="7"/>
      <c r="J117" s="7"/>
      <c r="K117" s="7"/>
      <c r="L117" s="7"/>
      <c r="O117" s="7"/>
    </row>
    <row r="118" spans="2:15" ht="6.75" customHeight="1" x14ac:dyDescent="0.2">
      <c r="B118" s="3"/>
      <c r="C118" s="7"/>
      <c r="D118" s="7"/>
      <c r="E118" s="7"/>
      <c r="F118" s="7"/>
      <c r="G118" s="7"/>
      <c r="H118" s="7"/>
      <c r="I118" s="7"/>
      <c r="J118" s="7"/>
      <c r="K118" s="7"/>
      <c r="L118" s="7"/>
      <c r="O118" s="7"/>
    </row>
    <row r="119" spans="2:15" ht="6.75" customHeight="1" x14ac:dyDescent="0.2">
      <c r="B119" s="3"/>
      <c r="C119" s="7"/>
      <c r="D119" s="7"/>
      <c r="E119" s="7"/>
      <c r="F119" s="7"/>
      <c r="G119" s="7"/>
      <c r="H119" s="7"/>
      <c r="I119" s="7"/>
      <c r="J119" s="7"/>
      <c r="K119" s="7"/>
      <c r="L119" s="7"/>
      <c r="O119" s="7"/>
    </row>
    <row r="120" spans="2:15" ht="6.75" customHeight="1" x14ac:dyDescent="0.2">
      <c r="B120" s="3"/>
      <c r="C120" s="7"/>
      <c r="D120" s="7"/>
      <c r="E120" s="7"/>
      <c r="F120" s="7"/>
      <c r="G120" s="7"/>
      <c r="H120" s="7"/>
      <c r="I120" s="7"/>
      <c r="J120" s="7"/>
      <c r="K120" s="7"/>
      <c r="L120" s="7"/>
      <c r="O120" s="7"/>
    </row>
    <row r="121" spans="2:15" ht="6.75" customHeight="1" x14ac:dyDescent="0.2">
      <c r="B121" s="3"/>
      <c r="C121" s="7"/>
      <c r="D121" s="7"/>
      <c r="E121" s="7"/>
      <c r="F121" s="7"/>
      <c r="G121" s="7"/>
      <c r="H121" s="7"/>
      <c r="I121" s="7"/>
      <c r="J121" s="7"/>
      <c r="K121" s="7"/>
      <c r="L121" s="7"/>
      <c r="O121" s="7"/>
    </row>
    <row r="122" spans="2:15" ht="6.75" customHeight="1" x14ac:dyDescent="0.2">
      <c r="B122" s="3"/>
      <c r="C122" s="7"/>
      <c r="D122" s="7"/>
      <c r="E122" s="7"/>
      <c r="F122" s="7"/>
      <c r="G122" s="7"/>
      <c r="H122" s="7"/>
      <c r="I122" s="7"/>
      <c r="J122" s="7"/>
      <c r="K122" s="7"/>
      <c r="L122" s="7"/>
      <c r="O122" s="7"/>
    </row>
    <row r="123" spans="2:15" ht="6.75" customHeight="1" x14ac:dyDescent="0.2">
      <c r="B123" s="3"/>
      <c r="C123" s="7"/>
      <c r="D123" s="7"/>
      <c r="E123" s="7"/>
      <c r="F123" s="7"/>
      <c r="G123" s="7"/>
      <c r="H123" s="7"/>
      <c r="I123" s="7"/>
      <c r="J123" s="7"/>
      <c r="K123" s="7"/>
      <c r="L123" s="7"/>
      <c r="O123" s="7"/>
    </row>
    <row r="124" spans="2:15" ht="6.75" customHeight="1" x14ac:dyDescent="0.2">
      <c r="B124" s="3"/>
      <c r="C124" s="7"/>
      <c r="D124" s="7"/>
      <c r="E124" s="7"/>
      <c r="F124" s="7"/>
      <c r="G124" s="7"/>
      <c r="H124" s="7"/>
      <c r="I124" s="7"/>
      <c r="J124" s="7"/>
      <c r="K124" s="7"/>
      <c r="L124" s="7"/>
      <c r="O124" s="7"/>
    </row>
    <row r="125" spans="2:15" ht="6.75" customHeight="1" x14ac:dyDescent="0.2">
      <c r="B125" s="3"/>
      <c r="C125" s="7"/>
      <c r="D125" s="7"/>
      <c r="E125" s="7"/>
      <c r="F125" s="7"/>
      <c r="G125" s="7"/>
      <c r="H125" s="7"/>
      <c r="I125" s="7"/>
      <c r="J125" s="7"/>
      <c r="K125" s="7"/>
      <c r="L125" s="7"/>
      <c r="O125" s="7"/>
    </row>
    <row r="126" spans="2:15" ht="6.75" customHeight="1" x14ac:dyDescent="0.2">
      <c r="B126" s="3"/>
      <c r="C126" s="7"/>
      <c r="D126" s="7"/>
      <c r="E126" s="7"/>
      <c r="F126" s="7"/>
      <c r="G126" s="7"/>
      <c r="H126" s="7"/>
      <c r="I126" s="7"/>
      <c r="J126" s="7"/>
      <c r="K126" s="7"/>
      <c r="L126" s="7"/>
      <c r="O126" s="7"/>
    </row>
    <row r="127" spans="2:15" ht="6.75" customHeight="1" x14ac:dyDescent="0.2">
      <c r="B127" s="3"/>
      <c r="C127" s="7"/>
      <c r="D127" s="7"/>
      <c r="E127" s="7"/>
      <c r="F127" s="7"/>
      <c r="G127" s="7"/>
      <c r="H127" s="7"/>
      <c r="I127" s="7"/>
      <c r="J127" s="7"/>
      <c r="K127" s="7"/>
      <c r="L127" s="7"/>
      <c r="O127" s="7"/>
    </row>
    <row r="128" spans="2:15" ht="6.75" customHeight="1" x14ac:dyDescent="0.2">
      <c r="B128" s="3"/>
      <c r="C128" s="7"/>
      <c r="D128" s="7"/>
      <c r="E128" s="7"/>
      <c r="F128" s="7"/>
      <c r="G128" s="7"/>
      <c r="H128" s="7"/>
      <c r="I128" s="7"/>
      <c r="J128" s="7"/>
      <c r="K128" s="7"/>
      <c r="L128" s="7"/>
      <c r="O128" s="7"/>
    </row>
    <row r="129" spans="2:15" ht="6.75" customHeight="1" x14ac:dyDescent="0.2">
      <c r="B129" s="3"/>
      <c r="C129" s="7"/>
      <c r="D129" s="7"/>
      <c r="E129" s="7"/>
      <c r="F129" s="7"/>
      <c r="G129" s="7"/>
      <c r="H129" s="7"/>
      <c r="I129" s="7"/>
      <c r="J129" s="7"/>
      <c r="K129" s="7"/>
      <c r="L129" s="7"/>
      <c r="O129" s="7"/>
    </row>
    <row r="130" spans="2:15" ht="6.75" customHeight="1" x14ac:dyDescent="0.2">
      <c r="B130" s="3"/>
      <c r="C130" s="7"/>
      <c r="D130" s="7"/>
      <c r="E130" s="7"/>
      <c r="F130" s="7"/>
      <c r="G130" s="7"/>
      <c r="H130" s="7"/>
      <c r="I130" s="7"/>
      <c r="J130" s="7"/>
      <c r="K130" s="7"/>
      <c r="L130" s="7"/>
      <c r="O130" s="7"/>
    </row>
    <row r="131" spans="2:15" ht="6.75" customHeight="1" x14ac:dyDescent="0.2">
      <c r="B131" s="3"/>
      <c r="C131" s="7"/>
      <c r="D131" s="7"/>
      <c r="E131" s="7"/>
      <c r="F131" s="7"/>
      <c r="G131" s="7"/>
      <c r="H131" s="7"/>
      <c r="I131" s="7"/>
      <c r="J131" s="7"/>
      <c r="K131" s="7"/>
      <c r="L131" s="7"/>
      <c r="O131" s="7"/>
    </row>
    <row r="132" spans="2:15" ht="6.75" customHeight="1" x14ac:dyDescent="0.2">
      <c r="B132" s="3"/>
      <c r="C132" s="7"/>
      <c r="D132" s="7"/>
      <c r="E132" s="7"/>
      <c r="F132" s="7"/>
      <c r="G132" s="7"/>
      <c r="H132" s="7"/>
      <c r="I132" s="7"/>
      <c r="J132" s="7"/>
      <c r="K132" s="7"/>
      <c r="L132" s="7"/>
      <c r="O132" s="7"/>
    </row>
    <row r="133" spans="2:15" ht="6.75" customHeight="1" x14ac:dyDescent="0.2">
      <c r="B133" s="3"/>
      <c r="C133" s="7"/>
      <c r="D133" s="7"/>
      <c r="E133" s="7"/>
      <c r="F133" s="7"/>
      <c r="G133" s="7"/>
      <c r="H133" s="7"/>
      <c r="I133" s="7"/>
      <c r="J133" s="7"/>
      <c r="K133" s="7"/>
      <c r="L133" s="7"/>
      <c r="O133" s="7"/>
    </row>
    <row r="134" spans="2:15" ht="6.75" customHeight="1" x14ac:dyDescent="0.2">
      <c r="B134" s="3"/>
      <c r="C134" s="7"/>
      <c r="D134" s="7"/>
      <c r="E134" s="7"/>
      <c r="F134" s="7"/>
      <c r="G134" s="7"/>
      <c r="H134" s="7"/>
      <c r="I134" s="7"/>
      <c r="J134" s="7"/>
      <c r="K134" s="7"/>
      <c r="L134" s="7"/>
      <c r="O134" s="7"/>
    </row>
    <row r="135" spans="2:15" ht="6.75" customHeight="1" x14ac:dyDescent="0.2">
      <c r="B135" s="3"/>
      <c r="C135" s="7"/>
      <c r="D135" s="7"/>
      <c r="E135" s="7"/>
      <c r="F135" s="7"/>
      <c r="G135" s="7"/>
      <c r="H135" s="7"/>
      <c r="I135" s="7"/>
      <c r="J135" s="7"/>
      <c r="K135" s="7"/>
      <c r="L135" s="7"/>
      <c r="O135" s="7"/>
    </row>
    <row r="136" spans="2:15" ht="6.75" customHeight="1" x14ac:dyDescent="0.2">
      <c r="B136" s="3"/>
      <c r="C136" s="7"/>
      <c r="D136" s="7"/>
      <c r="E136" s="7"/>
      <c r="F136" s="7"/>
      <c r="G136" s="7"/>
      <c r="H136" s="7"/>
      <c r="I136" s="7"/>
      <c r="J136" s="7"/>
      <c r="K136" s="7"/>
      <c r="L136" s="7"/>
      <c r="O136" s="7"/>
    </row>
    <row r="137" spans="2:15" ht="6.75" customHeight="1" x14ac:dyDescent="0.2">
      <c r="B137" s="3"/>
      <c r="C137" s="7"/>
      <c r="D137" s="7"/>
      <c r="E137" s="7"/>
      <c r="F137" s="7"/>
      <c r="G137" s="7"/>
      <c r="H137" s="7"/>
      <c r="I137" s="7"/>
      <c r="J137" s="7"/>
      <c r="K137" s="7"/>
      <c r="L137" s="7"/>
      <c r="O137" s="7"/>
    </row>
    <row r="138" spans="2:15" ht="6.75" customHeight="1" x14ac:dyDescent="0.2">
      <c r="B138" s="3"/>
      <c r="C138" s="7"/>
      <c r="D138" s="7"/>
      <c r="E138" s="7"/>
      <c r="F138" s="7"/>
      <c r="G138" s="7"/>
      <c r="H138" s="7"/>
      <c r="I138" s="7"/>
      <c r="J138" s="7"/>
      <c r="K138" s="7"/>
      <c r="L138" s="7"/>
      <c r="O138" s="7"/>
    </row>
    <row r="139" spans="2:15" ht="6.75" customHeight="1" x14ac:dyDescent="0.2">
      <c r="B139" s="3"/>
      <c r="C139" s="7"/>
      <c r="D139" s="7"/>
      <c r="E139" s="7"/>
      <c r="F139" s="7"/>
      <c r="G139" s="7"/>
      <c r="H139" s="7"/>
      <c r="I139" s="7"/>
      <c r="J139" s="7"/>
      <c r="K139" s="7"/>
      <c r="L139" s="7"/>
      <c r="O139" s="7"/>
    </row>
    <row r="140" spans="2:15" ht="6.75" customHeight="1" x14ac:dyDescent="0.2">
      <c r="B140" s="3"/>
      <c r="C140" s="7"/>
      <c r="D140" s="7"/>
      <c r="E140" s="7"/>
      <c r="F140" s="7"/>
      <c r="G140" s="7"/>
      <c r="H140" s="7"/>
      <c r="I140" s="7"/>
      <c r="J140" s="7"/>
      <c r="K140" s="7"/>
      <c r="L140" s="7"/>
      <c r="O140" s="7"/>
    </row>
    <row r="141" spans="2:15" ht="6.75" customHeight="1" x14ac:dyDescent="0.2">
      <c r="B141" s="3"/>
      <c r="C141" s="7"/>
      <c r="D141" s="7"/>
      <c r="E141" s="7"/>
      <c r="F141" s="7"/>
      <c r="G141" s="7"/>
      <c r="H141" s="7"/>
      <c r="I141" s="7"/>
      <c r="J141" s="7"/>
      <c r="K141" s="7"/>
      <c r="L141" s="7"/>
      <c r="O141" s="7"/>
    </row>
    <row r="142" spans="2:15" ht="6.75" customHeight="1" x14ac:dyDescent="0.2">
      <c r="B142" s="3"/>
      <c r="C142" s="7"/>
      <c r="D142" s="7"/>
      <c r="E142" s="7"/>
      <c r="F142" s="7"/>
      <c r="G142" s="7"/>
      <c r="H142" s="7"/>
      <c r="I142" s="7"/>
      <c r="J142" s="7"/>
      <c r="K142" s="7"/>
      <c r="L142" s="7"/>
      <c r="O142" s="7"/>
    </row>
    <row r="143" spans="2:15" ht="6.75" customHeight="1" x14ac:dyDescent="0.2">
      <c r="B143" s="3"/>
      <c r="C143" s="7"/>
      <c r="D143" s="7"/>
      <c r="E143" s="7"/>
      <c r="F143" s="7"/>
      <c r="G143" s="7"/>
      <c r="H143" s="7"/>
      <c r="I143" s="7"/>
      <c r="J143" s="7"/>
      <c r="K143" s="7"/>
      <c r="L143" s="7"/>
      <c r="O143" s="7"/>
    </row>
    <row r="144" spans="2:15" ht="6.75" customHeight="1" x14ac:dyDescent="0.2">
      <c r="B144" s="3"/>
      <c r="C144" s="7"/>
      <c r="D144" s="7"/>
      <c r="E144" s="7"/>
      <c r="F144" s="7"/>
      <c r="G144" s="7"/>
      <c r="H144" s="7"/>
      <c r="I144" s="7"/>
      <c r="J144" s="7"/>
      <c r="K144" s="7"/>
      <c r="L144" s="7"/>
      <c r="O144" s="7"/>
    </row>
    <row r="145" spans="2:15" ht="6.75" customHeight="1" x14ac:dyDescent="0.2">
      <c r="B145" s="3"/>
      <c r="C145" s="7"/>
      <c r="D145" s="7"/>
      <c r="E145" s="7"/>
      <c r="F145" s="7"/>
      <c r="G145" s="7"/>
      <c r="H145" s="7"/>
      <c r="I145" s="7"/>
      <c r="J145" s="7"/>
      <c r="K145" s="7"/>
      <c r="L145" s="7"/>
      <c r="O145" s="7"/>
    </row>
    <row r="146" spans="2:15" ht="6.75" customHeight="1" x14ac:dyDescent="0.2">
      <c r="B146" s="3"/>
      <c r="C146" s="7"/>
      <c r="D146" s="7"/>
      <c r="E146" s="7"/>
      <c r="F146" s="7"/>
      <c r="G146" s="7"/>
      <c r="H146" s="7"/>
      <c r="I146" s="7"/>
      <c r="J146" s="7"/>
      <c r="K146" s="7"/>
      <c r="L146" s="7"/>
      <c r="O146" s="7"/>
    </row>
    <row r="147" spans="2:15" ht="6.75" customHeight="1" x14ac:dyDescent="0.2">
      <c r="B147" s="3"/>
      <c r="C147" s="7"/>
      <c r="D147" s="7"/>
      <c r="E147" s="7"/>
      <c r="F147" s="7"/>
      <c r="G147" s="7"/>
      <c r="H147" s="7"/>
      <c r="I147" s="7"/>
      <c r="J147" s="7"/>
      <c r="K147" s="7"/>
      <c r="L147" s="7"/>
      <c r="O147" s="7"/>
    </row>
    <row r="148" spans="2:15" ht="6.75" customHeight="1" x14ac:dyDescent="0.2">
      <c r="B148" s="3"/>
      <c r="C148" s="7"/>
      <c r="D148" s="7"/>
      <c r="E148" s="7"/>
      <c r="F148" s="7"/>
      <c r="G148" s="7"/>
      <c r="H148" s="7"/>
      <c r="I148" s="7"/>
      <c r="J148" s="7"/>
      <c r="K148" s="7"/>
      <c r="L148" s="7"/>
      <c r="O148" s="7"/>
    </row>
    <row r="149" spans="2:15" ht="6.75" customHeight="1" x14ac:dyDescent="0.2">
      <c r="B149" s="3"/>
      <c r="C149" s="7"/>
      <c r="D149" s="7"/>
      <c r="E149" s="7"/>
      <c r="F149" s="7"/>
      <c r="G149" s="7"/>
      <c r="H149" s="7"/>
      <c r="I149" s="7"/>
      <c r="J149" s="7"/>
      <c r="K149" s="7"/>
      <c r="L149" s="7"/>
      <c r="O149" s="7"/>
    </row>
    <row r="150" spans="2:15" ht="6.75" customHeight="1" x14ac:dyDescent="0.2">
      <c r="B150" s="3"/>
      <c r="C150" s="7"/>
      <c r="D150" s="7"/>
      <c r="E150" s="7"/>
      <c r="F150" s="7"/>
      <c r="G150" s="7"/>
      <c r="H150" s="7"/>
      <c r="I150" s="7"/>
      <c r="J150" s="7"/>
      <c r="K150" s="7"/>
      <c r="L150" s="7"/>
      <c r="O150" s="7"/>
    </row>
    <row r="151" spans="2:15" ht="6.75" customHeight="1" x14ac:dyDescent="0.2">
      <c r="B151" s="3"/>
      <c r="C151" s="7"/>
      <c r="D151" s="7"/>
      <c r="E151" s="7"/>
      <c r="F151" s="7"/>
      <c r="G151" s="7"/>
      <c r="H151" s="7"/>
      <c r="I151" s="7"/>
      <c r="J151" s="7"/>
      <c r="K151" s="7"/>
      <c r="L151" s="7"/>
      <c r="O151" s="7"/>
    </row>
    <row r="152" spans="2:15" ht="6.75" customHeight="1" x14ac:dyDescent="0.2">
      <c r="B152" s="3"/>
      <c r="C152" s="7"/>
      <c r="D152" s="7"/>
      <c r="E152" s="7"/>
      <c r="F152" s="7"/>
      <c r="G152" s="7"/>
      <c r="H152" s="7"/>
      <c r="I152" s="7"/>
      <c r="J152" s="7"/>
      <c r="K152" s="7"/>
      <c r="L152" s="7"/>
      <c r="O152" s="7"/>
    </row>
    <row r="153" spans="2:15" ht="6.75" customHeight="1" x14ac:dyDescent="0.2">
      <c r="B153" s="3"/>
      <c r="C153" s="7"/>
      <c r="D153" s="7"/>
      <c r="E153" s="7"/>
      <c r="F153" s="7"/>
      <c r="G153" s="7"/>
      <c r="H153" s="7"/>
      <c r="I153" s="7"/>
      <c r="J153" s="7"/>
      <c r="K153" s="7"/>
      <c r="L153" s="7"/>
      <c r="O153" s="7"/>
    </row>
    <row r="154" spans="2:15" ht="6.75" customHeight="1" x14ac:dyDescent="0.2">
      <c r="B154" s="3"/>
      <c r="C154" s="7"/>
      <c r="D154" s="7"/>
      <c r="E154" s="7"/>
      <c r="F154" s="7"/>
      <c r="G154" s="7"/>
      <c r="H154" s="7"/>
      <c r="I154" s="7"/>
      <c r="J154" s="7"/>
      <c r="K154" s="7"/>
      <c r="L154" s="7"/>
      <c r="O154" s="7"/>
    </row>
    <row r="155" spans="2:15" ht="6.75" customHeight="1" x14ac:dyDescent="0.2">
      <c r="B155" s="3"/>
      <c r="C155" s="7"/>
      <c r="D155" s="7"/>
      <c r="E155" s="7"/>
      <c r="F155" s="7"/>
      <c r="G155" s="7"/>
      <c r="H155" s="7"/>
      <c r="I155" s="7"/>
      <c r="J155" s="7"/>
      <c r="K155" s="7"/>
      <c r="L155" s="7"/>
      <c r="O155" s="7"/>
    </row>
    <row r="156" spans="2:15" ht="6.75" customHeight="1" x14ac:dyDescent="0.2">
      <c r="B156" s="3"/>
      <c r="C156" s="7"/>
      <c r="D156" s="7"/>
      <c r="E156" s="7"/>
      <c r="F156" s="7"/>
      <c r="G156" s="7"/>
      <c r="H156" s="7"/>
      <c r="I156" s="7"/>
      <c r="J156" s="7"/>
      <c r="K156" s="7"/>
      <c r="L156" s="7"/>
      <c r="O156" s="7"/>
    </row>
    <row r="157" spans="2:15" ht="6.75" customHeight="1" x14ac:dyDescent="0.2">
      <c r="B157" s="3"/>
      <c r="C157" s="7"/>
      <c r="D157" s="7"/>
      <c r="E157" s="7"/>
      <c r="F157" s="7"/>
      <c r="G157" s="7"/>
      <c r="H157" s="7"/>
      <c r="I157" s="7"/>
      <c r="J157" s="7"/>
      <c r="K157" s="7"/>
      <c r="L157" s="7"/>
      <c r="O157" s="7"/>
    </row>
    <row r="158" spans="2:15" ht="6.75" customHeight="1" x14ac:dyDescent="0.2">
      <c r="B158" s="3"/>
      <c r="C158" s="7"/>
      <c r="D158" s="7"/>
      <c r="E158" s="7"/>
      <c r="F158" s="7"/>
      <c r="G158" s="7"/>
      <c r="H158" s="7"/>
      <c r="I158" s="7"/>
      <c r="J158" s="7"/>
      <c r="K158" s="7"/>
      <c r="L158" s="7"/>
      <c r="O158" s="7"/>
    </row>
    <row r="159" spans="2:15" ht="6.75" customHeight="1" x14ac:dyDescent="0.2">
      <c r="B159" s="3"/>
      <c r="C159" s="7"/>
      <c r="D159" s="7"/>
      <c r="E159" s="7"/>
      <c r="F159" s="7"/>
      <c r="G159" s="7"/>
      <c r="H159" s="7"/>
      <c r="I159" s="7"/>
      <c r="J159" s="7"/>
      <c r="K159" s="7"/>
      <c r="L159" s="7"/>
      <c r="O159" s="7"/>
    </row>
    <row r="160" spans="2:15" ht="6.75" customHeight="1" x14ac:dyDescent="0.2">
      <c r="B160" s="3"/>
      <c r="C160" s="7"/>
      <c r="D160" s="7"/>
      <c r="E160" s="7"/>
      <c r="F160" s="7"/>
      <c r="G160" s="7"/>
      <c r="H160" s="7"/>
      <c r="I160" s="7"/>
      <c r="J160" s="7"/>
      <c r="K160" s="7"/>
      <c r="L160" s="7"/>
      <c r="O160" s="7"/>
    </row>
    <row r="161" spans="2:15" ht="6.75" customHeight="1" x14ac:dyDescent="0.2">
      <c r="B161" s="3"/>
      <c r="C161" s="7"/>
      <c r="D161" s="7"/>
      <c r="E161" s="7"/>
      <c r="F161" s="7"/>
      <c r="G161" s="7"/>
      <c r="H161" s="7"/>
      <c r="I161" s="7"/>
      <c r="J161" s="7"/>
      <c r="K161" s="7"/>
      <c r="L161" s="7"/>
      <c r="O161" s="7"/>
    </row>
    <row r="162" spans="2:15" ht="6.75" customHeight="1" x14ac:dyDescent="0.2">
      <c r="B162" s="3"/>
      <c r="C162" s="7"/>
      <c r="D162" s="7"/>
      <c r="E162" s="7"/>
      <c r="F162" s="7"/>
      <c r="G162" s="7"/>
      <c r="H162" s="7"/>
      <c r="I162" s="7"/>
      <c r="J162" s="7"/>
      <c r="K162" s="7"/>
      <c r="L162" s="7"/>
      <c r="O162" s="7"/>
    </row>
    <row r="163" spans="2:15" ht="6.75" customHeight="1" x14ac:dyDescent="0.2">
      <c r="B163" s="3"/>
      <c r="C163" s="7"/>
      <c r="D163" s="7"/>
      <c r="E163" s="7"/>
      <c r="F163" s="7"/>
      <c r="G163" s="7"/>
      <c r="H163" s="7"/>
      <c r="I163" s="7"/>
      <c r="J163" s="7"/>
      <c r="K163" s="7"/>
      <c r="L163" s="7"/>
      <c r="O163" s="7"/>
    </row>
  </sheetData>
  <sheetProtection password="D435" sheet="1" objects="1" scenarios="1" selectLockedCells="1"/>
  <mergeCells count="510">
    <mergeCell ref="A83:A84"/>
    <mergeCell ref="B83:K84"/>
    <mergeCell ref="L83:L84"/>
    <mergeCell ref="AO83:AP84"/>
    <mergeCell ref="F81:F82"/>
    <mergeCell ref="G81:G82"/>
    <mergeCell ref="H81:H82"/>
    <mergeCell ref="I81:I82"/>
    <mergeCell ref="J81:J82"/>
    <mergeCell ref="K81:K82"/>
    <mergeCell ref="AO77:AP78"/>
    <mergeCell ref="A79:A80"/>
    <mergeCell ref="B79:B80"/>
    <mergeCell ref="C79:C80"/>
    <mergeCell ref="D79:D80"/>
    <mergeCell ref="E79:E80"/>
    <mergeCell ref="L79:L80"/>
    <mergeCell ref="AO79:AP80"/>
    <mergeCell ref="O80:O81"/>
    <mergeCell ref="P80:Y81"/>
    <mergeCell ref="Z80:Z81"/>
    <mergeCell ref="A81:A82"/>
    <mergeCell ref="B81:B82"/>
    <mergeCell ref="C81:C82"/>
    <mergeCell ref="D81:D82"/>
    <mergeCell ref="E81:E82"/>
    <mergeCell ref="F79:F80"/>
    <mergeCell ref="G79:G80"/>
    <mergeCell ref="H79:H80"/>
    <mergeCell ref="I79:I80"/>
    <mergeCell ref="J79:J80"/>
    <mergeCell ref="K79:K80"/>
    <mergeCell ref="L81:L82"/>
    <mergeCell ref="AO81:AP82"/>
    <mergeCell ref="A71:A72"/>
    <mergeCell ref="B71:B72"/>
    <mergeCell ref="C71:C72"/>
    <mergeCell ref="D71:D72"/>
    <mergeCell ref="E71:E72"/>
    <mergeCell ref="F71:F72"/>
    <mergeCell ref="X76:X77"/>
    <mergeCell ref="Y76:Y77"/>
    <mergeCell ref="Z76:Z77"/>
    <mergeCell ref="Q74:Q75"/>
    <mergeCell ref="R74:R75"/>
    <mergeCell ref="S74:S75"/>
    <mergeCell ref="T74:T75"/>
    <mergeCell ref="U74:U75"/>
    <mergeCell ref="A77:A78"/>
    <mergeCell ref="B77:K78"/>
    <mergeCell ref="L77:L78"/>
    <mergeCell ref="A73:A74"/>
    <mergeCell ref="B73:K74"/>
    <mergeCell ref="L73:L74"/>
    <mergeCell ref="O74:O75"/>
    <mergeCell ref="P74:P75"/>
    <mergeCell ref="V76:V77"/>
    <mergeCell ref="W76:W77"/>
    <mergeCell ref="A69:A70"/>
    <mergeCell ref="B69:B70"/>
    <mergeCell ref="C69:C70"/>
    <mergeCell ref="D69:D70"/>
    <mergeCell ref="W74:W75"/>
    <mergeCell ref="AR70:BA71"/>
    <mergeCell ref="BB70:BB71"/>
    <mergeCell ref="G69:G70"/>
    <mergeCell ref="H69:H70"/>
    <mergeCell ref="I69:I70"/>
    <mergeCell ref="J69:J70"/>
    <mergeCell ref="K69:K70"/>
    <mergeCell ref="L69:L70"/>
    <mergeCell ref="V74:V75"/>
    <mergeCell ref="AN75:AN76"/>
    <mergeCell ref="O76:O77"/>
    <mergeCell ref="P76:P77"/>
    <mergeCell ref="Q76:Q77"/>
    <mergeCell ref="R76:R77"/>
    <mergeCell ref="S76:S77"/>
    <mergeCell ref="T76:T77"/>
    <mergeCell ref="U76:U77"/>
    <mergeCell ref="G71:G72"/>
    <mergeCell ref="H71:H72"/>
    <mergeCell ref="AC75:AC76"/>
    <mergeCell ref="AD75:AM76"/>
    <mergeCell ref="E69:E70"/>
    <mergeCell ref="F69:F70"/>
    <mergeCell ref="AX66:AX67"/>
    <mergeCell ref="AY66:AY67"/>
    <mergeCell ref="AZ66:AZ67"/>
    <mergeCell ref="BA66:BA67"/>
    <mergeCell ref="BB66:BB67"/>
    <mergeCell ref="Z70:Z71"/>
    <mergeCell ref="AQ70:AQ71"/>
    <mergeCell ref="O70:O71"/>
    <mergeCell ref="P70:Y71"/>
    <mergeCell ref="I71:I72"/>
    <mergeCell ref="J71:J72"/>
    <mergeCell ref="K71:K72"/>
    <mergeCell ref="L71:L72"/>
    <mergeCell ref="X74:X75"/>
    <mergeCell ref="Y74:Y75"/>
    <mergeCell ref="Z74:Z75"/>
    <mergeCell ref="A67:A68"/>
    <mergeCell ref="B67:K68"/>
    <mergeCell ref="L67:L68"/>
    <mergeCell ref="AR66:AR67"/>
    <mergeCell ref="AS66:AS67"/>
    <mergeCell ref="AT66:AT67"/>
    <mergeCell ref="AU66:AU67"/>
    <mergeCell ref="AV66:AV67"/>
    <mergeCell ref="AW66:AW67"/>
    <mergeCell ref="AJ66:AJ67"/>
    <mergeCell ref="AK66:AK67"/>
    <mergeCell ref="AL66:AL67"/>
    <mergeCell ref="AM66:AM67"/>
    <mergeCell ref="AN66:AN67"/>
    <mergeCell ref="AQ66:AQ67"/>
    <mergeCell ref="BE65:BE66"/>
    <mergeCell ref="BF65:BJ66"/>
    <mergeCell ref="BK65:BK66"/>
    <mergeCell ref="AC66:AC67"/>
    <mergeCell ref="AD66:AD67"/>
    <mergeCell ref="AE66:AE67"/>
    <mergeCell ref="AF66:AF67"/>
    <mergeCell ref="AG66:AG67"/>
    <mergeCell ref="AH66:AH67"/>
    <mergeCell ref="AI66:AI67"/>
    <mergeCell ref="AW64:AW65"/>
    <mergeCell ref="AX64:AX65"/>
    <mergeCell ref="AY64:AY65"/>
    <mergeCell ref="AZ64:AZ65"/>
    <mergeCell ref="BA64:BA65"/>
    <mergeCell ref="BB64:BB65"/>
    <mergeCell ref="AQ64:AQ65"/>
    <mergeCell ref="AR64:AR65"/>
    <mergeCell ref="AS64:AS65"/>
    <mergeCell ref="AT64:AT65"/>
    <mergeCell ref="AU64:AU65"/>
    <mergeCell ref="AV64:AV65"/>
    <mergeCell ref="AI64:AI65"/>
    <mergeCell ref="AJ64:AJ65"/>
    <mergeCell ref="A63:A64"/>
    <mergeCell ref="B63:K64"/>
    <mergeCell ref="L63:L64"/>
    <mergeCell ref="AK64:AK65"/>
    <mergeCell ref="AL64:AL65"/>
    <mergeCell ref="AM64:AM65"/>
    <mergeCell ref="AN64:AN65"/>
    <mergeCell ref="AC64:AC65"/>
    <mergeCell ref="AD64:AD65"/>
    <mergeCell ref="AE64:AE65"/>
    <mergeCell ref="AF64:AF65"/>
    <mergeCell ref="AG64:AG65"/>
    <mergeCell ref="AH64:AH65"/>
    <mergeCell ref="G61:G62"/>
    <mergeCell ref="J59:J60"/>
    <mergeCell ref="K59:K60"/>
    <mergeCell ref="L59:L60"/>
    <mergeCell ref="O60:O61"/>
    <mergeCell ref="P60:Y61"/>
    <mergeCell ref="Z60:Z61"/>
    <mergeCell ref="H61:H62"/>
    <mergeCell ref="I61:I62"/>
    <mergeCell ref="J61:J62"/>
    <mergeCell ref="K61:K62"/>
    <mergeCell ref="L61:L62"/>
    <mergeCell ref="AQ57:BB58"/>
    <mergeCell ref="A59:A60"/>
    <mergeCell ref="B59:B60"/>
    <mergeCell ref="C59:C60"/>
    <mergeCell ref="D59:D60"/>
    <mergeCell ref="E59:E60"/>
    <mergeCell ref="F59:F60"/>
    <mergeCell ref="G59:G60"/>
    <mergeCell ref="H59:H60"/>
    <mergeCell ref="I59:I60"/>
    <mergeCell ref="V56:V57"/>
    <mergeCell ref="W56:W57"/>
    <mergeCell ref="X56:X57"/>
    <mergeCell ref="Y56:Y57"/>
    <mergeCell ref="Z56:Z57"/>
    <mergeCell ref="AQ60:AQ61"/>
    <mergeCell ref="AR60:BA61"/>
    <mergeCell ref="BB60:BB61"/>
    <mergeCell ref="A61:A62"/>
    <mergeCell ref="B61:B62"/>
    <mergeCell ref="C61:C62"/>
    <mergeCell ref="D61:D62"/>
    <mergeCell ref="E61:E62"/>
    <mergeCell ref="F61:F62"/>
    <mergeCell ref="A57:A58"/>
    <mergeCell ref="B57:K58"/>
    <mergeCell ref="L57:L58"/>
    <mergeCell ref="AC55:AC56"/>
    <mergeCell ref="AD55:AM56"/>
    <mergeCell ref="AN55:AN56"/>
    <mergeCell ref="O56:O57"/>
    <mergeCell ref="P56:P57"/>
    <mergeCell ref="Q56:Q57"/>
    <mergeCell ref="R56:R57"/>
    <mergeCell ref="S56:S57"/>
    <mergeCell ref="T56:T57"/>
    <mergeCell ref="U56:U57"/>
    <mergeCell ref="U54:U55"/>
    <mergeCell ref="V54:V55"/>
    <mergeCell ref="W54:W55"/>
    <mergeCell ref="X54:X55"/>
    <mergeCell ref="Y54:Y55"/>
    <mergeCell ref="Z54:Z55"/>
    <mergeCell ref="O54:O55"/>
    <mergeCell ref="P54:P55"/>
    <mergeCell ref="Q54:Q55"/>
    <mergeCell ref="R54:R55"/>
    <mergeCell ref="S54:S55"/>
    <mergeCell ref="T54:T55"/>
    <mergeCell ref="H51:H52"/>
    <mergeCell ref="I51:I52"/>
    <mergeCell ref="J51:J52"/>
    <mergeCell ref="K51:K52"/>
    <mergeCell ref="L51:L52"/>
    <mergeCell ref="A53:A54"/>
    <mergeCell ref="B53:K54"/>
    <mergeCell ref="L53:L54"/>
    <mergeCell ref="O50:O51"/>
    <mergeCell ref="P50:Y51"/>
    <mergeCell ref="Z50:Z51"/>
    <mergeCell ref="A51:A52"/>
    <mergeCell ref="B51:B52"/>
    <mergeCell ref="C51:C52"/>
    <mergeCell ref="D51:D52"/>
    <mergeCell ref="E51:E52"/>
    <mergeCell ref="F51:F52"/>
    <mergeCell ref="G51:G52"/>
    <mergeCell ref="G49:G50"/>
    <mergeCell ref="H49:H50"/>
    <mergeCell ref="I49:I50"/>
    <mergeCell ref="J49:J50"/>
    <mergeCell ref="K49:K50"/>
    <mergeCell ref="L49:L50"/>
    <mergeCell ref="A49:A50"/>
    <mergeCell ref="B49:B50"/>
    <mergeCell ref="C49:C50"/>
    <mergeCell ref="D49:D50"/>
    <mergeCell ref="E49:E50"/>
    <mergeCell ref="F49:F50"/>
    <mergeCell ref="BE46:BE47"/>
    <mergeCell ref="BF46:BJ47"/>
    <mergeCell ref="BK46:BK47"/>
    <mergeCell ref="A47:A48"/>
    <mergeCell ref="B47:K48"/>
    <mergeCell ref="L47:L48"/>
    <mergeCell ref="BE48:BE49"/>
    <mergeCell ref="BF48:BJ49"/>
    <mergeCell ref="BK48:BK49"/>
    <mergeCell ref="BE42:BE43"/>
    <mergeCell ref="BF42:BJ43"/>
    <mergeCell ref="BK42:BK43"/>
    <mergeCell ref="A43:A44"/>
    <mergeCell ref="B43:K44"/>
    <mergeCell ref="L43:L44"/>
    <mergeCell ref="BE44:BE45"/>
    <mergeCell ref="BF44:BJ45"/>
    <mergeCell ref="BK44:BK45"/>
    <mergeCell ref="G41:G42"/>
    <mergeCell ref="H41:H42"/>
    <mergeCell ref="I41:I42"/>
    <mergeCell ref="J41:J42"/>
    <mergeCell ref="K41:K42"/>
    <mergeCell ref="L41:L42"/>
    <mergeCell ref="O40:O41"/>
    <mergeCell ref="P40:Y41"/>
    <mergeCell ref="Z40:Z41"/>
    <mergeCell ref="BE40:BK41"/>
    <mergeCell ref="A41:A42"/>
    <mergeCell ref="B41:B42"/>
    <mergeCell ref="C41:C42"/>
    <mergeCell ref="D41:D42"/>
    <mergeCell ref="E41:E42"/>
    <mergeCell ref="A37:A38"/>
    <mergeCell ref="B37:K38"/>
    <mergeCell ref="L37:L38"/>
    <mergeCell ref="A39:A40"/>
    <mergeCell ref="B39:B40"/>
    <mergeCell ref="C39:C40"/>
    <mergeCell ref="D39:D40"/>
    <mergeCell ref="E39:E40"/>
    <mergeCell ref="F39:F40"/>
    <mergeCell ref="X36:X37"/>
    <mergeCell ref="Y36:Y37"/>
    <mergeCell ref="Z36:Z37"/>
    <mergeCell ref="Q34:Q35"/>
    <mergeCell ref="R34:R35"/>
    <mergeCell ref="S34:S35"/>
    <mergeCell ref="T34:T35"/>
    <mergeCell ref="U34:U35"/>
    <mergeCell ref="F41:F42"/>
    <mergeCell ref="G39:G40"/>
    <mergeCell ref="H39:H40"/>
    <mergeCell ref="I39:I40"/>
    <mergeCell ref="J39:J40"/>
    <mergeCell ref="K39:K40"/>
    <mergeCell ref="L39:L40"/>
    <mergeCell ref="A33:A34"/>
    <mergeCell ref="B33:K34"/>
    <mergeCell ref="L33:L34"/>
    <mergeCell ref="O34:O35"/>
    <mergeCell ref="P34:P35"/>
    <mergeCell ref="G31:G32"/>
    <mergeCell ref="H31:H32"/>
    <mergeCell ref="I31:I32"/>
    <mergeCell ref="J31:J32"/>
    <mergeCell ref="K31:K32"/>
    <mergeCell ref="L31:L32"/>
    <mergeCell ref="A31:A32"/>
    <mergeCell ref="B31:B32"/>
    <mergeCell ref="C31:C32"/>
    <mergeCell ref="D31:D32"/>
    <mergeCell ref="E31:E32"/>
    <mergeCell ref="F31:F32"/>
    <mergeCell ref="O30:O31"/>
    <mergeCell ref="P30:Y31"/>
    <mergeCell ref="A29:A30"/>
    <mergeCell ref="B29:B30"/>
    <mergeCell ref="C29:C30"/>
    <mergeCell ref="D29:D30"/>
    <mergeCell ref="W34:W35"/>
    <mergeCell ref="AR30:BA31"/>
    <mergeCell ref="BB30:BB31"/>
    <mergeCell ref="G29:G30"/>
    <mergeCell ref="H29:H30"/>
    <mergeCell ref="I29:I30"/>
    <mergeCell ref="J29:J30"/>
    <mergeCell ref="K29:K30"/>
    <mergeCell ref="L29:L30"/>
    <mergeCell ref="V34:V35"/>
    <mergeCell ref="AN35:AN36"/>
    <mergeCell ref="O36:O37"/>
    <mergeCell ref="P36:P37"/>
    <mergeCell ref="Q36:Q37"/>
    <mergeCell ref="R36:R37"/>
    <mergeCell ref="S36:S37"/>
    <mergeCell ref="T36:T37"/>
    <mergeCell ref="U36:U37"/>
    <mergeCell ref="V36:V37"/>
    <mergeCell ref="W36:W37"/>
    <mergeCell ref="X34:X35"/>
    <mergeCell ref="Y34:Y35"/>
    <mergeCell ref="Z34:Z35"/>
    <mergeCell ref="AC35:AC36"/>
    <mergeCell ref="AD35:AM36"/>
    <mergeCell ref="E29:E30"/>
    <mergeCell ref="F29:F30"/>
    <mergeCell ref="AX26:AX27"/>
    <mergeCell ref="AY26:AY27"/>
    <mergeCell ref="AZ26:AZ27"/>
    <mergeCell ref="BA26:BA27"/>
    <mergeCell ref="BB26:BB27"/>
    <mergeCell ref="A27:A28"/>
    <mergeCell ref="B27:K28"/>
    <mergeCell ref="L27:L28"/>
    <mergeCell ref="AR26:AR27"/>
    <mergeCell ref="AS26:AS27"/>
    <mergeCell ref="AT26:AT27"/>
    <mergeCell ref="AU26:AU27"/>
    <mergeCell ref="AV26:AV27"/>
    <mergeCell ref="AW26:AW27"/>
    <mergeCell ref="AJ26:AJ27"/>
    <mergeCell ref="AK26:AK27"/>
    <mergeCell ref="AL26:AL27"/>
    <mergeCell ref="AM26:AM27"/>
    <mergeCell ref="AN26:AN27"/>
    <mergeCell ref="AQ26:AQ27"/>
    <mergeCell ref="Z30:Z31"/>
    <mergeCell ref="AQ30:AQ31"/>
    <mergeCell ref="BE25:BE26"/>
    <mergeCell ref="BF25:BJ26"/>
    <mergeCell ref="BK25:BK26"/>
    <mergeCell ref="AC26:AC27"/>
    <mergeCell ref="AD26:AD27"/>
    <mergeCell ref="AE26:AE27"/>
    <mergeCell ref="AF26:AF27"/>
    <mergeCell ref="AG26:AG27"/>
    <mergeCell ref="AH26:AH27"/>
    <mergeCell ref="AI26:AI27"/>
    <mergeCell ref="AW24:AW25"/>
    <mergeCell ref="AX24:AX25"/>
    <mergeCell ref="AY24:AY25"/>
    <mergeCell ref="AZ24:AZ25"/>
    <mergeCell ref="BA24:BA25"/>
    <mergeCell ref="BB24:BB25"/>
    <mergeCell ref="AQ24:AQ25"/>
    <mergeCell ref="AR24:AR25"/>
    <mergeCell ref="AS24:AS25"/>
    <mergeCell ref="AT24:AT25"/>
    <mergeCell ref="AU24:AU25"/>
    <mergeCell ref="AV24:AV25"/>
    <mergeCell ref="AI24:AI25"/>
    <mergeCell ref="AJ24:AJ25"/>
    <mergeCell ref="A23:A24"/>
    <mergeCell ref="B23:K24"/>
    <mergeCell ref="L23:L24"/>
    <mergeCell ref="AK24:AK25"/>
    <mergeCell ref="AL24:AL25"/>
    <mergeCell ref="AM24:AM25"/>
    <mergeCell ref="AN24:AN25"/>
    <mergeCell ref="AC24:AC25"/>
    <mergeCell ref="AD24:AD25"/>
    <mergeCell ref="AE24:AE25"/>
    <mergeCell ref="AF24:AF25"/>
    <mergeCell ref="AG24:AG25"/>
    <mergeCell ref="AH24:AH25"/>
    <mergeCell ref="G21:G22"/>
    <mergeCell ref="J19:J20"/>
    <mergeCell ref="K19:K20"/>
    <mergeCell ref="L19:L20"/>
    <mergeCell ref="O20:O21"/>
    <mergeCell ref="P20:Y21"/>
    <mergeCell ref="Z20:Z21"/>
    <mergeCell ref="H21:H22"/>
    <mergeCell ref="I21:I22"/>
    <mergeCell ref="J21:J22"/>
    <mergeCell ref="K21:K22"/>
    <mergeCell ref="L21:L22"/>
    <mergeCell ref="AQ17:BB18"/>
    <mergeCell ref="A19:A20"/>
    <mergeCell ref="B19:B20"/>
    <mergeCell ref="C19:C20"/>
    <mergeCell ref="D19:D20"/>
    <mergeCell ref="E19:E20"/>
    <mergeCell ref="F19:F20"/>
    <mergeCell ref="G19:G20"/>
    <mergeCell ref="H19:H20"/>
    <mergeCell ref="I19:I20"/>
    <mergeCell ref="V16:V17"/>
    <mergeCell ref="W16:W17"/>
    <mergeCell ref="X16:X17"/>
    <mergeCell ref="Y16:Y17"/>
    <mergeCell ref="Z16:Z17"/>
    <mergeCell ref="AQ20:AQ21"/>
    <mergeCell ref="AR20:BA21"/>
    <mergeCell ref="BB20:BB21"/>
    <mergeCell ref="A21:A22"/>
    <mergeCell ref="B21:B22"/>
    <mergeCell ref="C21:C22"/>
    <mergeCell ref="D21:D22"/>
    <mergeCell ref="E21:E22"/>
    <mergeCell ref="F21:F22"/>
    <mergeCell ref="AC15:AC16"/>
    <mergeCell ref="AD15:AM16"/>
    <mergeCell ref="AN15:AN16"/>
    <mergeCell ref="O16:O17"/>
    <mergeCell ref="P16:P17"/>
    <mergeCell ref="Q16:Q17"/>
    <mergeCell ref="R16:R17"/>
    <mergeCell ref="S16:S17"/>
    <mergeCell ref="T16:T17"/>
    <mergeCell ref="U16:U17"/>
    <mergeCell ref="U14:U15"/>
    <mergeCell ref="V14:V15"/>
    <mergeCell ref="W14:W15"/>
    <mergeCell ref="X14:X15"/>
    <mergeCell ref="Y14:Y15"/>
    <mergeCell ref="Z14:Z15"/>
    <mergeCell ref="O14:O15"/>
    <mergeCell ref="P14:P15"/>
    <mergeCell ref="Q14:Q15"/>
    <mergeCell ref="R14:R15"/>
    <mergeCell ref="A17:A18"/>
    <mergeCell ref="B17:K18"/>
    <mergeCell ref="L17:L18"/>
    <mergeCell ref="C9:C10"/>
    <mergeCell ref="D9:D10"/>
    <mergeCell ref="E9:E10"/>
    <mergeCell ref="F9:F10"/>
    <mergeCell ref="S14:S15"/>
    <mergeCell ref="H11:H12"/>
    <mergeCell ref="I11:I12"/>
    <mergeCell ref="J11:J12"/>
    <mergeCell ref="K11:K12"/>
    <mergeCell ref="L11:L12"/>
    <mergeCell ref="L9:L10"/>
    <mergeCell ref="A9:A10"/>
    <mergeCell ref="B9:B10"/>
    <mergeCell ref="A13:A14"/>
    <mergeCell ref="B13:K14"/>
    <mergeCell ref="L13:L14"/>
    <mergeCell ref="O10:O11"/>
    <mergeCell ref="P10:Y11"/>
    <mergeCell ref="T14:T15"/>
    <mergeCell ref="A4:BK4"/>
    <mergeCell ref="A1:BK1"/>
    <mergeCell ref="A2:BK2"/>
    <mergeCell ref="A3:BK3"/>
    <mergeCell ref="A5:BK5"/>
    <mergeCell ref="A7:A8"/>
    <mergeCell ref="B7:K8"/>
    <mergeCell ref="L7:L8"/>
    <mergeCell ref="Z10:Z11"/>
    <mergeCell ref="A11:A12"/>
    <mergeCell ref="B11:B12"/>
    <mergeCell ref="C11:C12"/>
    <mergeCell ref="D11:D12"/>
    <mergeCell ref="E11:E12"/>
    <mergeCell ref="F11:F12"/>
    <mergeCell ref="G11:G12"/>
    <mergeCell ref="G9:G10"/>
    <mergeCell ref="H9:H10"/>
    <mergeCell ref="I9:I10"/>
    <mergeCell ref="J9:J10"/>
    <mergeCell ref="K9:K10"/>
  </mergeCells>
  <conditionalFormatting sqref="P10:T11 P30:T31 P50:T51 P70:T71 AR60:AV61">
    <cfRule type="expression" dxfId="528" priority="101">
      <formula>AND(O10=AC15,AC15&lt;&gt;" ")</formula>
    </cfRule>
  </conditionalFormatting>
  <conditionalFormatting sqref="Z10:Z11 Z30:Z31 Z50:Z51 Z70:Z71 BB60:BB61">
    <cfRule type="expression" dxfId="527" priority="100">
      <formula>AND(O10=AC15,AC15&lt;&gt;" ")</formula>
    </cfRule>
  </conditionalFormatting>
  <conditionalFormatting sqref="P20:Y21 P40:Y41 P60:Y61 P80:Y81 AR70:AZ71 AR30:AZ31">
    <cfRule type="expression" dxfId="526" priority="99">
      <formula>AND(O20=AC15,AC15&lt;&gt;" ")</formula>
    </cfRule>
  </conditionalFormatting>
  <conditionalFormatting sqref="Z20:Z21 Z40:Z41 Z60:Z61 Z80:Z81">
    <cfRule type="expression" dxfId="525" priority="98">
      <formula>AND(O20=AC15,AC15&lt;&gt;" ")</formula>
    </cfRule>
  </conditionalFormatting>
  <conditionalFormatting sqref="AR20:AV21">
    <cfRule type="expression" dxfId="524" priority="97">
      <formula>AND(AQ20=BE25,BE25&lt;&gt;" ")</formula>
    </cfRule>
  </conditionalFormatting>
  <conditionalFormatting sqref="BB20:BB21">
    <cfRule type="expression" dxfId="523" priority="96">
      <formula>AND(AQ20=BE25,BE25&lt;&gt;" ")</formula>
    </cfRule>
  </conditionalFormatting>
  <conditionalFormatting sqref="BB30:BB31">
    <cfRule type="expression" dxfId="522" priority="94">
      <formula>AND(AQ30=BE25,BE25&lt;&gt;" ")</formula>
    </cfRule>
  </conditionalFormatting>
  <conditionalFormatting sqref="AD55:AN56">
    <cfRule type="expression" dxfId="521" priority="93">
      <formula>AND($AC$55=$AQ$30,$AQ$30&lt;&gt;" ")</formula>
    </cfRule>
  </conditionalFormatting>
  <conditionalFormatting sqref="AN75:AN76">
    <cfRule type="expression" dxfId="520" priority="92">
      <formula>AND(AC75=$AQ$30,$AQ$30&lt;&gt;" ")</formula>
    </cfRule>
  </conditionalFormatting>
  <conditionalFormatting sqref="AD75:AM76">
    <cfRule type="expression" dxfId="519" priority="91">
      <formula>AND($AC$75=$AQ$30,$AQ$30&lt;&gt;" ")</formula>
    </cfRule>
  </conditionalFormatting>
  <conditionalFormatting sqref="AD15:AN16">
    <cfRule type="expression" dxfId="518" priority="90">
      <formula>AND($AC$15=$AQ$20,$AQ$20&lt;&gt;" ")</formula>
    </cfRule>
  </conditionalFormatting>
  <conditionalFormatting sqref="AD35:AN36">
    <cfRule type="expression" dxfId="517" priority="89">
      <formula>AND($AC$35=$AQ$20,$AQ$20&lt;&gt;" ")</formula>
    </cfRule>
  </conditionalFormatting>
  <conditionalFormatting sqref="BB70:BB71">
    <cfRule type="expression" dxfId="516" priority="85">
      <formula>AND(AQ70=BE65,BE65&lt;&gt;" ")</formula>
    </cfRule>
  </conditionalFormatting>
  <conditionalFormatting sqref="B7:F8 B17:F18 B27:F28 B37:F38 B47:F48 B57:F58 B67:F68 B77:F78">
    <cfRule type="expression" dxfId="515" priority="84">
      <formula>AND(A7=O10,O10&lt;&gt;" ")</formula>
    </cfRule>
  </conditionalFormatting>
  <conditionalFormatting sqref="L7:L8 L17:L18 L27:L28 L37:L38 L47:L48 L57:L58 L67:L68 L77:L78">
    <cfRule type="expression" dxfId="514" priority="83">
      <formula>AND(A7=O10,O10&lt;&gt;" ")</formula>
    </cfRule>
  </conditionalFormatting>
  <conditionalFormatting sqref="B13:K14 B23:K24 B33:K34 B43:K44 B53:K54 B63:K64 B73:K74 B83:K84">
    <cfRule type="expression" dxfId="513" priority="82">
      <formula>AND(A13=O10,O10&lt;&gt;" ")</formula>
    </cfRule>
  </conditionalFormatting>
  <conditionalFormatting sqref="L13:L14 L23:L24 L33:L34 L43:L44 L53:L54 L63:L64 L73:L74 L83:L84">
    <cfRule type="expression" dxfId="512" priority="81">
      <formula>AND(A13=O10,O10&lt;&gt;" ")</formula>
    </cfRule>
  </conditionalFormatting>
  <conditionalFormatting sqref="A9:A12 A19:A22 A29:A32 A39:A42 A49:A52 A59:A62 A69:A72 A79:A82">
    <cfRule type="expression" dxfId="511" priority="79">
      <formula>AND(MOD(A9,2)=0,A9&lt;&gt;"")</formula>
    </cfRule>
    <cfRule type="expression" dxfId="510" priority="80">
      <formula>AND(MOD(A9,2)=1,A9&lt;&gt;"")</formula>
    </cfRule>
  </conditionalFormatting>
  <conditionalFormatting sqref="A11:A12 A21:A22 A31:A32 A41:A42 A51:A52 A61:A62 A71:A72 A81:A82">
    <cfRule type="expression" dxfId="509" priority="77">
      <formula>AND(MOD(A11,2)=0,A11&lt;&gt;"")</formula>
    </cfRule>
    <cfRule type="expression" dxfId="508" priority="78">
      <formula>AND(MOD(A11,2)=1,A11&lt;&gt;"")</formula>
    </cfRule>
  </conditionalFormatting>
  <conditionalFormatting sqref="O14:O15">
    <cfRule type="expression" dxfId="507" priority="71">
      <formula>AND(MOD(O14,2)=0,O14&lt;&gt;"")</formula>
    </cfRule>
    <cfRule type="expression" dxfId="506" priority="72">
      <formula>AND(MOD(O14,2)=1,O14&lt;&gt;"")</formula>
    </cfRule>
  </conditionalFormatting>
  <conditionalFormatting sqref="O16:O17">
    <cfRule type="expression" dxfId="505" priority="69">
      <formula>AND(MOD(O16,2)=0,O16&lt;&gt;"")</formula>
    </cfRule>
    <cfRule type="expression" dxfId="504" priority="70">
      <formula>AND(MOD(O16,2)=1,O16&lt;&gt;"")</formula>
    </cfRule>
  </conditionalFormatting>
  <conditionalFormatting sqref="O34:O35 O54:O55 O74:O75">
    <cfRule type="expression" dxfId="503" priority="67">
      <formula>AND(MOD(O34,2)=0,O34&lt;&gt;"")</formula>
    </cfRule>
    <cfRule type="expression" dxfId="502" priority="68">
      <formula>AND(MOD(O34,2)=1,O34&lt;&gt;"")</formula>
    </cfRule>
  </conditionalFormatting>
  <conditionalFormatting sqref="O36:O37 O56:O57 O76:O77">
    <cfRule type="expression" dxfId="501" priority="65">
      <formula>AND(MOD(O36,2)=0,O36&lt;&gt;"")</formula>
    </cfRule>
    <cfRule type="expression" dxfId="500" priority="66">
      <formula>AND(MOD(O36,2)=1,O36&lt;&gt;"")</formula>
    </cfRule>
  </conditionalFormatting>
  <conditionalFormatting sqref="AC24:AC25">
    <cfRule type="expression" dxfId="499" priority="63">
      <formula>AND(MOD(AC24,2)=0,AC24&lt;&gt;"")</formula>
    </cfRule>
    <cfRule type="expression" dxfId="498" priority="64">
      <formula>AND(MOD(AC24,2)=1,AC24&lt;&gt;"")</formula>
    </cfRule>
  </conditionalFormatting>
  <conditionalFormatting sqref="AC26:AC27">
    <cfRule type="expression" dxfId="497" priority="61">
      <formula>AND(MOD(AC26,2)=0,AC26&lt;&gt;"")</formula>
    </cfRule>
    <cfRule type="expression" dxfId="496" priority="62">
      <formula>AND(MOD(AC26,2)=1,AC26&lt;&gt;"")</formula>
    </cfRule>
  </conditionalFormatting>
  <conditionalFormatting sqref="AC64:AC65">
    <cfRule type="expression" dxfId="495" priority="59">
      <formula>AND(MOD(AC64,2)=0,AC64&lt;&gt;"")</formula>
    </cfRule>
    <cfRule type="expression" dxfId="494" priority="60">
      <formula>AND(MOD(AC64,2)=1,AC64&lt;&gt;"")</formula>
    </cfRule>
  </conditionalFormatting>
  <conditionalFormatting sqref="AC66:AC67">
    <cfRule type="expression" dxfId="493" priority="57">
      <formula>AND(MOD(AC66,2)=0,AC66&lt;&gt;"")</formula>
    </cfRule>
    <cfRule type="expression" dxfId="492" priority="58">
      <formula>AND(MOD(AC66,2)=1,AC66&lt;&gt;"")</formula>
    </cfRule>
  </conditionalFormatting>
  <conditionalFormatting sqref="AQ24:AQ25">
    <cfRule type="expression" dxfId="491" priority="55">
      <formula>AND(MOD(AQ24,2)=0,AQ24&lt;&gt;"")</formula>
    </cfRule>
    <cfRule type="expression" dxfId="490" priority="56">
      <formula>AND(MOD(AQ24,2)=1,AQ24&lt;&gt;"")</formula>
    </cfRule>
  </conditionalFormatting>
  <conditionalFormatting sqref="AQ26:AQ27">
    <cfRule type="expression" dxfId="489" priority="53">
      <formula>AND(MOD(AQ26,2)=0,AQ26&lt;&gt;"")</formula>
    </cfRule>
    <cfRule type="expression" dxfId="488" priority="54">
      <formula>AND(MOD(AQ26,2)=1,AQ26&lt;&gt;"")</formula>
    </cfRule>
  </conditionalFormatting>
  <conditionalFormatting sqref="AQ64:AQ65">
    <cfRule type="expression" dxfId="487" priority="51">
      <formula>AND(MOD(AQ64,2)=0,AQ64&lt;&gt;"")</formula>
    </cfRule>
    <cfRule type="expression" dxfId="486" priority="52">
      <formula>AND(MOD(AQ64,2)=1,AQ64&lt;&gt;"")</formula>
    </cfRule>
  </conditionalFormatting>
  <conditionalFormatting sqref="AQ66:AQ67">
    <cfRule type="expression" dxfId="485" priority="49">
      <formula>AND(MOD(AQ66,2)=0,AQ66&lt;&gt;"")</formula>
    </cfRule>
    <cfRule type="expression" dxfId="484" priority="50">
      <formula>AND(MOD(AQ66,2)=1,AQ66&lt;&gt;"")</formula>
    </cfRule>
  </conditionalFormatting>
  <conditionalFormatting sqref="O14:O15">
    <cfRule type="expression" dxfId="483" priority="39">
      <formula>AND(MOD(O14,2)=0,O14&lt;&gt;"")</formula>
    </cfRule>
    <cfRule type="expression" dxfId="482" priority="40">
      <formula>AND(MOD(O14,2)=1,O14&lt;&gt;"")</formula>
    </cfRule>
  </conditionalFormatting>
  <conditionalFormatting sqref="O16:O17">
    <cfRule type="expression" dxfId="481" priority="37">
      <formula>AND(MOD(O16,2)=0,O16&lt;&gt;"")</formula>
    </cfRule>
    <cfRule type="expression" dxfId="480" priority="38">
      <formula>AND(MOD(O16,2)=1,O16&lt;&gt;"")</formula>
    </cfRule>
  </conditionalFormatting>
  <conditionalFormatting sqref="O16:O17">
    <cfRule type="expression" dxfId="479" priority="35">
      <formula>AND(MOD(O16,2)=0,O16&lt;&gt;"")</formula>
    </cfRule>
    <cfRule type="expression" dxfId="478" priority="36">
      <formula>AND(MOD(O16,2)=1,O16&lt;&gt;"")</formula>
    </cfRule>
  </conditionalFormatting>
  <conditionalFormatting sqref="O34:O35">
    <cfRule type="expression" dxfId="477" priority="33">
      <formula>AND(MOD(O34,2)=0,O34&lt;&gt;"")</formula>
    </cfRule>
    <cfRule type="expression" dxfId="476" priority="34">
      <formula>AND(MOD(O34,2)=1,O34&lt;&gt;"")</formula>
    </cfRule>
  </conditionalFormatting>
  <conditionalFormatting sqref="O36:O37">
    <cfRule type="expression" dxfId="475" priority="31">
      <formula>AND(MOD(O36,2)=0,O36&lt;&gt;"")</formula>
    </cfRule>
    <cfRule type="expression" dxfId="474" priority="32">
      <formula>AND(MOD(O36,2)=1,O36&lt;&gt;"")</formula>
    </cfRule>
  </conditionalFormatting>
  <conditionalFormatting sqref="O34:O35">
    <cfRule type="expression" dxfId="473" priority="29">
      <formula>AND(MOD(O34,2)=0,O34&lt;&gt;"")</formula>
    </cfRule>
    <cfRule type="expression" dxfId="472" priority="30">
      <formula>AND(MOD(O34,2)=1,O34&lt;&gt;"")</formula>
    </cfRule>
  </conditionalFormatting>
  <conditionalFormatting sqref="O36:O37">
    <cfRule type="expression" dxfId="471" priority="27">
      <formula>AND(MOD(O36,2)=0,O36&lt;&gt;"")</formula>
    </cfRule>
    <cfRule type="expression" dxfId="470" priority="28">
      <formula>AND(MOD(O36,2)=1,O36&lt;&gt;"")</formula>
    </cfRule>
  </conditionalFormatting>
  <conditionalFormatting sqref="O36:O37">
    <cfRule type="expression" dxfId="469" priority="25">
      <formula>AND(MOD(O36,2)=0,O36&lt;&gt;"")</formula>
    </cfRule>
    <cfRule type="expression" dxfId="468" priority="26">
      <formula>AND(MOD(O36,2)=1,O36&lt;&gt;"")</formula>
    </cfRule>
  </conditionalFormatting>
  <conditionalFormatting sqref="AC24:AC25">
    <cfRule type="expression" dxfId="467" priority="23">
      <formula>AND(MOD(AC24,2)=0,AC24&lt;&gt;"")</formula>
    </cfRule>
    <cfRule type="expression" dxfId="466" priority="24">
      <formula>AND(MOD(AC24,2)=1,AC24&lt;&gt;"")</formula>
    </cfRule>
  </conditionalFormatting>
  <conditionalFormatting sqref="AC26:AC27">
    <cfRule type="expression" dxfId="465" priority="21">
      <formula>AND(MOD(AC26,2)=0,AC26&lt;&gt;"")</formula>
    </cfRule>
    <cfRule type="expression" dxfId="464" priority="22">
      <formula>AND(MOD(AC26,2)=1,AC26&lt;&gt;"")</formula>
    </cfRule>
  </conditionalFormatting>
  <conditionalFormatting sqref="AC26:AC27">
    <cfRule type="expression" dxfId="463" priority="19">
      <formula>AND(MOD(AC26,2)=0,AC26&lt;&gt;"")</formula>
    </cfRule>
    <cfRule type="expression" dxfId="462" priority="20">
      <formula>AND(MOD(AC26,2)=1,AC26&lt;&gt;"")</formula>
    </cfRule>
  </conditionalFormatting>
  <conditionalFormatting sqref="AQ24:AQ25">
    <cfRule type="expression" dxfId="461" priority="17">
      <formula>AND(MOD(AQ24,2)=0,AQ24&lt;&gt;"")</formula>
    </cfRule>
    <cfRule type="expression" dxfId="460" priority="18">
      <formula>AND(MOD(AQ24,2)=1,AQ24&lt;&gt;"")</formula>
    </cfRule>
  </conditionalFormatting>
  <conditionalFormatting sqref="AQ24:AQ25">
    <cfRule type="expression" dxfId="459" priority="15">
      <formula>AND(MOD(AQ24,2)=0,AQ24&lt;&gt;"")</formula>
    </cfRule>
    <cfRule type="expression" dxfId="458" priority="16">
      <formula>AND(MOD(AQ24,2)=1,AQ24&lt;&gt;"")</formula>
    </cfRule>
  </conditionalFormatting>
  <conditionalFormatting sqref="AQ26:AQ27">
    <cfRule type="expression" dxfId="457" priority="13">
      <formula>AND(MOD(AQ26,2)=0,AQ26&lt;&gt;"")</formula>
    </cfRule>
    <cfRule type="expression" dxfId="456" priority="14">
      <formula>AND(MOD(AQ26,2)=1,AQ26&lt;&gt;"")</formula>
    </cfRule>
  </conditionalFormatting>
  <conditionalFormatting sqref="AQ64:AQ65">
    <cfRule type="expression" dxfId="455" priority="11">
      <formula>AND(MOD(AQ64,2)=0,AQ64&lt;&gt;"")</formula>
    </cfRule>
    <cfRule type="expression" dxfId="454" priority="12">
      <formula>AND(MOD(AQ64,2)=1,AQ64&lt;&gt;"")</formula>
    </cfRule>
  </conditionalFormatting>
  <conditionalFormatting sqref="AQ66:AQ67">
    <cfRule type="expression" dxfId="453" priority="9">
      <formula>AND(MOD(AQ66,2)=0,AQ66&lt;&gt;"")</formula>
    </cfRule>
    <cfRule type="expression" dxfId="452" priority="10">
      <formula>AND(MOD(AQ66,2)=1,AQ66&lt;&gt;"")</formula>
    </cfRule>
  </conditionalFormatting>
  <conditionalFormatting sqref="AQ64:AQ65">
    <cfRule type="expression" dxfId="451" priority="7">
      <formula>AND(MOD(AQ64,2)=0,AQ64&lt;&gt;"")</formula>
    </cfRule>
    <cfRule type="expression" dxfId="450" priority="8">
      <formula>AND(MOD(AQ64,2)=1,AQ64&lt;&gt;"")</formula>
    </cfRule>
  </conditionalFormatting>
  <conditionalFormatting sqref="AQ64:AQ65">
    <cfRule type="expression" dxfId="449" priority="5">
      <formula>AND(MOD(AQ64,2)=0,AQ64&lt;&gt;"")</formula>
    </cfRule>
    <cfRule type="expression" dxfId="448" priority="6">
      <formula>AND(MOD(AQ64,2)=1,AQ64&lt;&gt;"")</formula>
    </cfRule>
  </conditionalFormatting>
  <conditionalFormatting sqref="AQ66:AQ67">
    <cfRule type="expression" dxfId="447" priority="3">
      <formula>AND(MOD(AQ66,2)=0,AQ66&lt;&gt;"")</formula>
    </cfRule>
    <cfRule type="expression" dxfId="446" priority="4">
      <formula>AND(MOD(AQ66,2)=1,AQ66&lt;&gt;"")</formula>
    </cfRule>
  </conditionalFormatting>
  <conditionalFormatting sqref="BQ77:BQ80 A90:XFD1048576 BM77:BM88 BP73:BR73 BM89:XFD89 BT68:XFD88 BO77:BO88 BP74:BP88 A65:XFD67 BL53:XFD64 BQ74:BR76 A1:XFD52 A53:BD64 A68:BL89">
    <cfRule type="expression" dxfId="445" priority="2">
      <formula>OR($BE$50&lt;=$BE$52)</formula>
    </cfRule>
  </conditionalFormatting>
  <conditionalFormatting sqref="BA70:BA71">
    <cfRule type="expression" dxfId="444" priority="103">
      <formula>AND(AZ70=#REF!,#REF!&lt;&gt;" ")</formula>
    </cfRule>
  </conditionalFormatting>
  <conditionalFormatting sqref="BA30:BA31">
    <cfRule type="expression" dxfId="443" priority="115">
      <formula>AND(AZ30=BO25,BO25&lt;&gt;" ")</formula>
    </cfRule>
  </conditionalFormatting>
  <dataValidations count="1">
    <dataValidation type="whole" allowBlank="1" showInputMessage="1" showErrorMessage="1" sqref="B9:F12 B59:F62 B69:F72 P14:T17 AD24:AH27 AD64:AH67 AR24:AV27 AR64:AV67 B79:F82 B19:F22 B29:F32 B39:F42 B49:F52 P34:T37 P54:T57 P74:T77">
      <formula1>0</formula1>
      <formula2>30</formula2>
    </dataValidation>
  </dataValidations>
  <printOptions horizontalCentered="1" verticalCentered="1"/>
  <pageMargins left="0.39370078740157483" right="0.39370078740157483" top="0.59055118110236227" bottom="0.59055118110236227" header="0" footer="0"/>
  <pageSetup paperSize="9"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12</vt:i4>
      </vt:variant>
    </vt:vector>
  </HeadingPairs>
  <TitlesOfParts>
    <vt:vector size="25" baseType="lpstr">
      <vt:lpstr>Settings</vt:lpstr>
      <vt:lpstr>Start List</vt:lpstr>
      <vt:lpstr>By Category</vt:lpstr>
      <vt:lpstr>Men-Women</vt:lpstr>
      <vt:lpstr>Absolute</vt:lpstr>
      <vt:lpstr>Teams</vt:lpstr>
      <vt:lpstr>Men</vt:lpstr>
      <vt:lpstr>Women</vt:lpstr>
      <vt:lpstr>Juniors</vt:lpstr>
      <vt:lpstr>Cadets</vt:lpstr>
      <vt:lpstr>Senior Men</vt:lpstr>
      <vt:lpstr>Senior Women</vt:lpstr>
      <vt:lpstr>Match Play Standings</vt:lpstr>
      <vt:lpstr>Absolute!Oblast_tisku</vt:lpstr>
      <vt:lpstr>'By Category'!Oblast_tisku</vt:lpstr>
      <vt:lpstr>Cadets!Oblast_tisku</vt:lpstr>
      <vt:lpstr>Juniors!Oblast_tisku</vt:lpstr>
      <vt:lpstr>'Match Play Standings'!Oblast_tisku</vt:lpstr>
      <vt:lpstr>Men!Oblast_tisku</vt:lpstr>
      <vt:lpstr>'Men-Women'!Oblast_tisku</vt:lpstr>
      <vt:lpstr>'Senior Men'!Oblast_tisku</vt:lpstr>
      <vt:lpstr>'Senior Women'!Oblast_tisku</vt:lpstr>
      <vt:lpstr>'Start List'!Oblast_tisku</vt:lpstr>
      <vt:lpstr>Teams!Oblast_tisku</vt:lpstr>
      <vt:lpstr>Women!Oblast_tisku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Oborovečki</dc:creator>
  <cp:lastModifiedBy>Laďa</cp:lastModifiedBy>
  <cp:lastPrinted>2020-08-16T11:58:14Z</cp:lastPrinted>
  <dcterms:created xsi:type="dcterms:W3CDTF">2004-02-15T16:08:33Z</dcterms:created>
  <dcterms:modified xsi:type="dcterms:W3CDTF">2020-08-16T12:38:37Z</dcterms:modified>
  <cp:version>v1.0</cp:version>
</cp:coreProperties>
</file>